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登錄名單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<sst xmlns="http://schemas.openxmlformats.org/spreadsheetml/2006/main" uniqueCount="728">
  <si>
    <t>日期:2013-11-25 19:45:45</t>
  </si>
  <si>
    <t>通路</t>
  </si>
  <si>
    <t>發票</t>
  </si>
  <si>
    <t>姓名</t>
  </si>
  <si>
    <t>性別</t>
  </si>
  <si>
    <t>身分證字號</t>
  </si>
  <si>
    <t>出生年份</t>
  </si>
  <si>
    <t>出生月份</t>
  </si>
  <si>
    <t>出生日期</t>
  </si>
  <si>
    <t>電話</t>
  </si>
  <si>
    <t>手機</t>
  </si>
  <si>
    <t>信箱</t>
  </si>
  <si>
    <t>縣市</t>
  </si>
  <si>
    <t>鄉鎮市區</t>
  </si>
  <si>
    <t>住址</t>
  </si>
  <si>
    <t>進口商</t>
  </si>
  <si>
    <t>購買金額</t>
  </si>
  <si>
    <t>萊爾富</t>
  </si>
  <si>
    <t>YH49386445</t>
  </si>
  <si>
    <t>男</t>
  </si>
  <si>
    <t>S122417854</t>
  </si>
  <si>
    <t>sm50063@gmail.com</t>
  </si>
  <si>
    <t>台中市</t>
  </si>
  <si>
    <t>西屯區</t>
  </si>
  <si>
    <t>河南路二段388號1樓</t>
  </si>
  <si>
    <t>台灣樂天製菓股份有限公司</t>
  </si>
  <si>
    <t>YH61794559</t>
  </si>
  <si>
    <t>F126702934</t>
  </si>
  <si>
    <t>frank52011@yahoo.com.tw</t>
  </si>
  <si>
    <t>新北市</t>
  </si>
  <si>
    <t>新莊區</t>
  </si>
  <si>
    <t>天祥街47巷4弄3號3樓</t>
  </si>
  <si>
    <t>全家</t>
  </si>
  <si>
    <t>YL18945152</t>
  </si>
  <si>
    <t>女</t>
  </si>
  <si>
    <t>S223070311</t>
  </si>
  <si>
    <t>wu032324@gmail.com</t>
  </si>
  <si>
    <t>高雄市</t>
  </si>
  <si>
    <t>大社區</t>
  </si>
  <si>
    <t>復興路12巷10號</t>
  </si>
  <si>
    <t>台灣樂天</t>
  </si>
  <si>
    <t>OK</t>
  </si>
  <si>
    <t>YH17839116</t>
  </si>
  <si>
    <t>E224018501</t>
  </si>
  <si>
    <t>erty95@yahoo.com.tw</t>
  </si>
  <si>
    <t>鼓山區</t>
  </si>
  <si>
    <t>鼓山三路8-24號</t>
  </si>
  <si>
    <t>lotte</t>
  </si>
  <si>
    <t>7-11</t>
  </si>
  <si>
    <t>YD72108509</t>
  </si>
  <si>
    <t>F224791819</t>
  </si>
  <si>
    <t>sunwin32@gmail.com</t>
  </si>
  <si>
    <t>土城區</t>
  </si>
  <si>
    <t>福安街120號</t>
  </si>
  <si>
    <t>YH60006871</t>
  </si>
  <si>
    <t>YH57727625</t>
  </si>
  <si>
    <t>E222012609</t>
  </si>
  <si>
    <t>sakana01@yam.com</t>
  </si>
  <si>
    <t>旗津區</t>
  </si>
  <si>
    <t>中洲三路521號</t>
  </si>
  <si>
    <t>YL03825581</t>
  </si>
  <si>
    <t>F126665945</t>
  </si>
  <si>
    <t>b660630@gmail.com</t>
  </si>
  <si>
    <t>台北市</t>
  </si>
  <si>
    <t>大同區</t>
  </si>
  <si>
    <t>民族西路169巷8號2F</t>
  </si>
  <si>
    <t>台灣樂天製菓</t>
  </si>
  <si>
    <t>YF32552463</t>
  </si>
  <si>
    <t>wu032324@gamil.com</t>
  </si>
  <si>
    <t>YK72826837</t>
  </si>
  <si>
    <t>H223415376</t>
  </si>
  <si>
    <t>yupeihsu88@gmail.com</t>
  </si>
  <si>
    <t>桃園縣</t>
  </si>
  <si>
    <t>桃園市</t>
  </si>
  <si>
    <t>龍壽街227巷9號</t>
  </si>
  <si>
    <t>YH17839117</t>
  </si>
  <si>
    <t>E223736957</t>
  </si>
  <si>
    <t>b561213@yahoo.com.tw</t>
  </si>
  <si>
    <t>YH17839118</t>
  </si>
  <si>
    <t>E221968317</t>
  </si>
  <si>
    <t>a5612132000@yahoo.com.tw</t>
  </si>
  <si>
    <t>YH51522897</t>
  </si>
  <si>
    <t>K221805043</t>
  </si>
  <si>
    <t>annie_8604@hotmail.com</t>
  </si>
  <si>
    <t>八德市</t>
  </si>
  <si>
    <t>忠勇三街65號7樓</t>
  </si>
  <si>
    <t>YC57039368</t>
  </si>
  <si>
    <t>L226094835</t>
  </si>
  <si>
    <t>ac.ttkky@msa.hinet.net</t>
  </si>
  <si>
    <t>南區</t>
  </si>
  <si>
    <t>文心南路550號2樓之3</t>
  </si>
  <si>
    <t>樂天</t>
  </si>
  <si>
    <t>YC57039367</t>
  </si>
  <si>
    <t>L225749608</t>
  </si>
  <si>
    <t>YL05880547</t>
  </si>
  <si>
    <t>B100646642</t>
  </si>
  <si>
    <t>YL05880546</t>
  </si>
  <si>
    <t>B122376345</t>
  </si>
  <si>
    <t>西區</t>
  </si>
  <si>
    <t>YH59214406</t>
  </si>
  <si>
    <t>B221727608</t>
  </si>
  <si>
    <t>YH59214405</t>
  </si>
  <si>
    <t>B221418560</t>
  </si>
  <si>
    <t>YH59224565</t>
  </si>
  <si>
    <t>樂添</t>
  </si>
  <si>
    <t>YH59224566</t>
  </si>
  <si>
    <t>YH59224564</t>
  </si>
  <si>
    <t>B121422393</t>
  </si>
  <si>
    <t>YF50606677</t>
  </si>
  <si>
    <t>L121568758</t>
  </si>
  <si>
    <t>chrissirhc@yam.com</t>
  </si>
  <si>
    <t>上明二街50號3樓之3</t>
  </si>
  <si>
    <t>YH59224563</t>
  </si>
  <si>
    <t>B222970470</t>
  </si>
  <si>
    <t>YH59224562</t>
  </si>
  <si>
    <t>B123278366</t>
  </si>
  <si>
    <t>YH59224567</t>
  </si>
  <si>
    <t>P200778615</t>
  </si>
  <si>
    <t>YH14496313</t>
  </si>
  <si>
    <t>L223678991</t>
  </si>
  <si>
    <t>doraemon6882002@gmail.com</t>
  </si>
  <si>
    <t>霧峰區</t>
  </si>
  <si>
    <t>振興街23號6樓之2號</t>
  </si>
  <si>
    <t>YH14496296</t>
  </si>
  <si>
    <t>L124177884</t>
  </si>
  <si>
    <t>rainbow1682002@hotmail.com</t>
  </si>
  <si>
    <t>龍井區</t>
  </si>
  <si>
    <t>臨港路二段58號</t>
  </si>
  <si>
    <t>YH14496300</t>
  </si>
  <si>
    <t>L223434784</t>
  </si>
  <si>
    <t>richie1682002@yahoo.com.tw</t>
  </si>
  <si>
    <t>工業路252巷56號</t>
  </si>
  <si>
    <t>YH14496294</t>
  </si>
  <si>
    <t>L123122161</t>
  </si>
  <si>
    <t>1537750084@qq.com</t>
  </si>
  <si>
    <t>臨港路二段38號</t>
  </si>
  <si>
    <t>YH14496305</t>
  </si>
  <si>
    <t>L102974996</t>
  </si>
  <si>
    <t>cheng1682012@yahoo.com.tw</t>
  </si>
  <si>
    <t>樹仁路166巷5號</t>
  </si>
  <si>
    <t>YH14496297</t>
  </si>
  <si>
    <t>L126653010</t>
  </si>
  <si>
    <t>waiting1682002@xuite.net</t>
  </si>
  <si>
    <t>樹仁路166巷3號1F</t>
  </si>
  <si>
    <t>YH14496311</t>
  </si>
  <si>
    <t>B201254051</t>
  </si>
  <si>
    <t>meimei1682002@gmail.com</t>
  </si>
  <si>
    <t>樹仁路166巷3號3F</t>
  </si>
  <si>
    <t>YD57887486</t>
  </si>
  <si>
    <t>N124924910</t>
  </si>
  <si>
    <t>hot3108855@yahoo.com.tw</t>
  </si>
  <si>
    <t>彰化縣</t>
  </si>
  <si>
    <t>埔心鄉</t>
  </si>
  <si>
    <t>太平村中山路45號</t>
  </si>
  <si>
    <t>YH57727916</t>
  </si>
  <si>
    <t>大潤發</t>
  </si>
  <si>
    <t>XV06923216</t>
  </si>
  <si>
    <t>A125100477</t>
  </si>
  <si>
    <t>mazdarxs7@gmail.com</t>
  </si>
  <si>
    <t>松山區</t>
  </si>
  <si>
    <t>八德路三段155巷26弄17號4樓</t>
  </si>
  <si>
    <t>YD59398759</t>
  </si>
  <si>
    <t>G120503518</t>
  </si>
  <si>
    <t>13@5413.com.tw</t>
  </si>
  <si>
    <t>板橋區</t>
  </si>
  <si>
    <t>長江路二段209號13樓</t>
  </si>
  <si>
    <t>YD59423570</t>
  </si>
  <si>
    <t>YK74709573</t>
  </si>
  <si>
    <t>M221236665</t>
  </si>
  <si>
    <t>kedgec@so-net.net.tw</t>
  </si>
  <si>
    <t>YD58679211</t>
  </si>
  <si>
    <t>L222568889</t>
  </si>
  <si>
    <t>qooalice88@msn.com</t>
  </si>
  <si>
    <t>內湖區</t>
  </si>
  <si>
    <t>民權東路六段191巷62弄20號2樓</t>
  </si>
  <si>
    <t>YH59177640</t>
  </si>
  <si>
    <t>YK48576070</t>
  </si>
  <si>
    <t>E220939198</t>
  </si>
  <si>
    <t>z2708999@gmail.com</t>
  </si>
  <si>
    <t>北屯區</t>
  </si>
  <si>
    <t>軍和街17號12樓</t>
  </si>
  <si>
    <t>YD57428212</t>
  </si>
  <si>
    <t>F231182008</t>
  </si>
  <si>
    <t>joan6885@yahoo.com.tw</t>
  </si>
  <si>
    <t>前鎮區</t>
  </si>
  <si>
    <t>永豐路156號</t>
  </si>
  <si>
    <t>YD13977555</t>
  </si>
  <si>
    <t>YL26954346</t>
  </si>
  <si>
    <t>S122739373</t>
  </si>
  <si>
    <t>ken670215@yahoo.com.tw</t>
  </si>
  <si>
    <t>美濃區</t>
  </si>
  <si>
    <t>福安里中山二路204巷31號</t>
  </si>
  <si>
    <t>YL21985949</t>
  </si>
  <si>
    <t>大樂</t>
  </si>
  <si>
    <t>YR22168226</t>
  </si>
  <si>
    <t>H224227183</t>
  </si>
  <si>
    <t>smile933942@hotmail.com</t>
  </si>
  <si>
    <t>楊梅鎮</t>
  </si>
  <si>
    <t>富岡里中正路140巷2號</t>
  </si>
  <si>
    <t>全聯</t>
  </si>
  <si>
    <t>YH24459755</t>
  </si>
  <si>
    <t>L223750069</t>
  </si>
  <si>
    <t>et52013144@gmail.com</t>
  </si>
  <si>
    <t>大里區</t>
  </si>
  <si>
    <t>益民路二段297號</t>
  </si>
  <si>
    <t>台灣樂天製果股份有限公司</t>
  </si>
  <si>
    <t>YD58678256</t>
  </si>
  <si>
    <t>YD58677263</t>
  </si>
  <si>
    <t>YD58676272</t>
  </si>
  <si>
    <t>YD58680152</t>
  </si>
  <si>
    <t>YL18948919</t>
  </si>
  <si>
    <t>YF32553316</t>
  </si>
  <si>
    <t>olwenlovecrab@hotmail.com</t>
  </si>
  <si>
    <t>YD71599599</t>
  </si>
  <si>
    <t>M221875386</t>
  </si>
  <si>
    <t>Lwei386@gmail.com</t>
  </si>
  <si>
    <t>南投縣</t>
  </si>
  <si>
    <t>中寮鄉</t>
  </si>
  <si>
    <t>龍安村福德巷13號</t>
  </si>
  <si>
    <t>YF52136921</t>
  </si>
  <si>
    <t>B223658535</t>
  </si>
  <si>
    <t>chiuhui.wung@chinatrust.com.tw</t>
  </si>
  <si>
    <t>和順路499巷29號</t>
  </si>
  <si>
    <t>YE65856526</t>
  </si>
  <si>
    <t>L223362176</t>
  </si>
  <si>
    <t>yokoso3494@gmail.com</t>
  </si>
  <si>
    <t>清水區</t>
  </si>
  <si>
    <t>信義二街121號</t>
  </si>
  <si>
    <t>愛買</t>
  </si>
  <si>
    <t>QS69261729</t>
  </si>
  <si>
    <t>E220464490</t>
  </si>
  <si>
    <t>tinachi555@yahoo.com.tw</t>
  </si>
  <si>
    <t>三重區</t>
  </si>
  <si>
    <t>三民街18號2樓</t>
  </si>
  <si>
    <t>臺灣樂天製菓股份有限公司</t>
  </si>
  <si>
    <t>XU05819604</t>
  </si>
  <si>
    <t>L223691449</t>
  </si>
  <si>
    <t>grace751207@gmail.com</t>
  </si>
  <si>
    <t>北區</t>
  </si>
  <si>
    <t>日進街42-1號</t>
  </si>
  <si>
    <t>YM23182777</t>
  </si>
  <si>
    <t>C120830203</t>
  </si>
  <si>
    <t>r36665663@gmail.com</t>
  </si>
  <si>
    <t>蘆洲區</t>
  </si>
  <si>
    <t>三民路128巷61弄18號3F</t>
  </si>
  <si>
    <t>屈臣氏</t>
  </si>
  <si>
    <t>YN93258323</t>
  </si>
  <si>
    <t>YH25733607</t>
  </si>
  <si>
    <t>N125227429</t>
  </si>
  <si>
    <t>sthomeez8@yahoo.com.tw</t>
  </si>
  <si>
    <t>二林鎮</t>
  </si>
  <si>
    <t xml:space="preserve">南安路392巷33號 </t>
  </si>
  <si>
    <t>YN93940889</t>
  </si>
  <si>
    <t>A225933807</t>
  </si>
  <si>
    <t>air_lin5@hotmail.com</t>
  </si>
  <si>
    <t>中山區</t>
  </si>
  <si>
    <t>四平街136號12樓之1</t>
  </si>
  <si>
    <t>YL35375331</t>
  </si>
  <si>
    <t>T222519614</t>
  </si>
  <si>
    <t>vivian6152001@yahoo.com.tw</t>
  </si>
  <si>
    <t>鼓山一路137號6樓</t>
  </si>
  <si>
    <t>YK83581546</t>
  </si>
  <si>
    <t>E122993401</t>
  </si>
  <si>
    <t>ader927@yahoo.com.tw</t>
  </si>
  <si>
    <t>河西一路145號</t>
  </si>
  <si>
    <t>YH62548548</t>
  </si>
  <si>
    <t>H123047787</t>
  </si>
  <si>
    <t>v9030038@yahoo.com.tw</t>
  </si>
  <si>
    <t>觀音鄉</t>
  </si>
  <si>
    <t>大潭村8鄰18之92號</t>
  </si>
  <si>
    <t>QA69276011</t>
  </si>
  <si>
    <t>F123333179</t>
  </si>
  <si>
    <t>rick143603@yahoo.com.tw</t>
  </si>
  <si>
    <t>重陽路三段176-8號9樓</t>
  </si>
  <si>
    <t>YE69705775</t>
  </si>
  <si>
    <t>D222039618</t>
  </si>
  <si>
    <t>smile6329@yahoo.com.tw</t>
  </si>
  <si>
    <t>嘉義市</t>
  </si>
  <si>
    <t>林森東路288-2號</t>
  </si>
  <si>
    <t>YC90860478</t>
  </si>
  <si>
    <t>A223279257</t>
  </si>
  <si>
    <t>b9552765@yahoo.com.tw</t>
  </si>
  <si>
    <t>國泰街25巷3號6樓</t>
  </si>
  <si>
    <t>YC74805604</t>
  </si>
  <si>
    <t>F230534900</t>
  </si>
  <si>
    <t>a0930037086@yahoo.com.tw</t>
  </si>
  <si>
    <t>莒光路133巷18號3樓</t>
  </si>
  <si>
    <t>YE02897585</t>
  </si>
  <si>
    <t>F130888509</t>
  </si>
  <si>
    <t>a82528869@yahoo.com.tw</t>
  </si>
  <si>
    <t>YD89561755</t>
  </si>
  <si>
    <t>N120147159</t>
  </si>
  <si>
    <t>wangchunpang@yahoo.com.tw</t>
  </si>
  <si>
    <t>彰化市</t>
  </si>
  <si>
    <t>中正路一段32巷22號</t>
  </si>
  <si>
    <t>台灣樂天製果</t>
  </si>
  <si>
    <t>YH58408959</t>
  </si>
  <si>
    <t>C120394097</t>
  </si>
  <si>
    <t>dch0824@ms23.hinet.net</t>
  </si>
  <si>
    <t>汐止區</t>
  </si>
  <si>
    <t>康寧街141巷24弄2號8樓</t>
  </si>
  <si>
    <t>XY28919691</t>
  </si>
  <si>
    <t>M222956102</t>
  </si>
  <si>
    <t>bring582369@yahoo.com.tw</t>
  </si>
  <si>
    <t>鳳山區</t>
  </si>
  <si>
    <t>海光里瑞智街104號</t>
  </si>
  <si>
    <t>臺灣樂天製？有限公司</t>
  </si>
  <si>
    <t>YE73782180</t>
  </si>
  <si>
    <t>N122757902</t>
  </si>
  <si>
    <t>aran@wintek.com.tw</t>
  </si>
  <si>
    <t>辭修路316巷94之11號</t>
  </si>
  <si>
    <t>YD14969270</t>
  </si>
  <si>
    <t>A126753516</t>
  </si>
  <si>
    <t>battot70314@yahoo.com.tw</t>
  </si>
  <si>
    <t>信義區</t>
  </si>
  <si>
    <t>和平東路三段391巷21號3樓</t>
  </si>
  <si>
    <t>台灣樂天製菓份有限公司</t>
  </si>
  <si>
    <t>YM78162518</t>
  </si>
  <si>
    <t>E122273600</t>
  </si>
  <si>
    <t>jack-lia@hotmail.com</t>
  </si>
  <si>
    <t>楠梓區</t>
  </si>
  <si>
    <t>加昌路649號5樓</t>
  </si>
  <si>
    <t>梅登開發有限公司</t>
  </si>
  <si>
    <t>QL14196381</t>
  </si>
  <si>
    <t>A228784262</t>
  </si>
  <si>
    <t>s88432000@hotmail.com</t>
  </si>
  <si>
    <t>烏日區</t>
  </si>
  <si>
    <t>溪南路二段35巷101弄51號</t>
  </si>
  <si>
    <t>YC20740746</t>
  </si>
  <si>
    <t>H225309228</t>
  </si>
  <si>
    <t>guirl1029@yahoo.com.tw</t>
  </si>
  <si>
    <t>中壢市</t>
  </si>
  <si>
    <t>忠福星華夏一村148號</t>
  </si>
  <si>
    <t>YD32111458</t>
  </si>
  <si>
    <t>U221834677</t>
  </si>
  <si>
    <t>u82406@yahoo.com.tw</t>
  </si>
  <si>
    <t>花蓮縣</t>
  </si>
  <si>
    <t>新城鄉</t>
  </si>
  <si>
    <t>北埔村樹林街233巷7弄7號</t>
  </si>
  <si>
    <t>大陸</t>
  </si>
  <si>
    <t>YE02817682</t>
  </si>
  <si>
    <t>F224682146</t>
  </si>
  <si>
    <t>rain_s2005@yahoo.com.tw</t>
  </si>
  <si>
    <t>仁昌街53號</t>
  </si>
  <si>
    <t>YH61996076</t>
  </si>
  <si>
    <t>F226095463</t>
  </si>
  <si>
    <t>twins742001@yahoo.com.tw</t>
  </si>
  <si>
    <t>YM25009453</t>
  </si>
  <si>
    <t>F223584730</t>
  </si>
  <si>
    <t>tamely0118@yahoo.com.tw</t>
  </si>
  <si>
    <t>士林區</t>
  </si>
  <si>
    <t>中山北路6段418號</t>
  </si>
  <si>
    <t>YD26500475</t>
  </si>
  <si>
    <t>L222750010</t>
  </si>
  <si>
    <t>tweety6968@xuite.net</t>
  </si>
  <si>
    <t>下湳里高美路49號</t>
  </si>
  <si>
    <t>家樂福</t>
  </si>
  <si>
    <t>QT51003466</t>
  </si>
  <si>
    <t>A222510151</t>
  </si>
  <si>
    <t>my2651104@hotmail.com</t>
  </si>
  <si>
    <t>台南市</t>
  </si>
  <si>
    <t>仁德區</t>
  </si>
  <si>
    <t>中正路3段347號</t>
  </si>
  <si>
    <t>YM53329397</t>
  </si>
  <si>
    <t>C220496954</t>
  </si>
  <si>
    <t>joanna668hua@gmail.com</t>
  </si>
  <si>
    <t>基隆市</t>
  </si>
  <si>
    <t>仁愛區</t>
  </si>
  <si>
    <t>仁愛區仁一路289號1樓</t>
  </si>
  <si>
    <t>YC41260611</t>
  </si>
  <si>
    <t>F126614546</t>
  </si>
  <si>
    <t>twomix7492@yahoo.com.tw</t>
  </si>
  <si>
    <t>德興街38巷10號1F</t>
  </si>
  <si>
    <t>YH61781775</t>
  </si>
  <si>
    <t>H122863125</t>
  </si>
  <si>
    <t>tpuji520@hotmail.com</t>
  </si>
  <si>
    <t>大溪鎮</t>
  </si>
  <si>
    <t>瑞源里員林路3段62號</t>
  </si>
  <si>
    <t>YC02800245</t>
  </si>
  <si>
    <t>康是美</t>
  </si>
  <si>
    <t>QN17972908</t>
  </si>
  <si>
    <t>N226119080</t>
  </si>
  <si>
    <t>wendy900131@yahoo.com.tw</t>
  </si>
  <si>
    <t>鎮興路60巷166號</t>
  </si>
  <si>
    <t>YC41241947</t>
  </si>
  <si>
    <t>A125309167</t>
  </si>
  <si>
    <t>bryan31369@gmail.com</t>
  </si>
  <si>
    <t>中和區</t>
  </si>
  <si>
    <t>景平路989巷4號22樓之1</t>
  </si>
  <si>
    <t>YD80512462</t>
  </si>
  <si>
    <t>Q222062975</t>
  </si>
  <si>
    <t>qoo6196@yahoo.com.tw</t>
  </si>
  <si>
    <t>嘉義縣</t>
  </si>
  <si>
    <t>大林鎮</t>
  </si>
  <si>
    <t>水源路27號</t>
  </si>
  <si>
    <t>YE51255054</t>
  </si>
  <si>
    <t>YC21983882</t>
  </si>
  <si>
    <t>E223634869</t>
  </si>
  <si>
    <t>tezuka_107@yahoo.com.tw</t>
  </si>
  <si>
    <t>青年路二段141巷23號</t>
  </si>
  <si>
    <t>YF37870236</t>
  </si>
  <si>
    <t>L122901042</t>
  </si>
  <si>
    <t>dkny_1513@hotmail.com</t>
  </si>
  <si>
    <t>爽文路118號</t>
  </si>
  <si>
    <t>YN95565117</t>
  </si>
  <si>
    <t>M221975649</t>
  </si>
  <si>
    <t>Aprillin814@gmail.com</t>
  </si>
  <si>
    <t>太平區</t>
  </si>
  <si>
    <t>樹德一街216號</t>
  </si>
  <si>
    <t>YH24459754</t>
  </si>
  <si>
    <t>L122165840</t>
  </si>
  <si>
    <t>YD80417210</t>
  </si>
  <si>
    <t>F224877636</t>
  </si>
  <si>
    <t>boss200307@yahoo.com.tw</t>
  </si>
  <si>
    <t>羅厝路2段93號</t>
  </si>
  <si>
    <t>YH31413769</t>
  </si>
  <si>
    <t>q120716236</t>
  </si>
  <si>
    <t>h581119@yahoo.com.tw</t>
  </si>
  <si>
    <t>蘆竹鄉</t>
  </si>
  <si>
    <t>南竹路5段152巷6弄8號</t>
  </si>
  <si>
    <t>YM32455390</t>
  </si>
  <si>
    <t>L223499374</t>
  </si>
  <si>
    <t>anitavs50@hotmail.com</t>
  </si>
  <si>
    <t>淡水區</t>
  </si>
  <si>
    <t>淡金路38巷22號10F</t>
  </si>
  <si>
    <t>YF04018114</t>
  </si>
  <si>
    <t>A223651875</t>
  </si>
  <si>
    <t>maria0306@gmail.com</t>
  </si>
  <si>
    <t>萬華區</t>
  </si>
  <si>
    <t>興義街12號4樓</t>
  </si>
  <si>
    <t>YM33910184</t>
  </si>
  <si>
    <t>F223690877</t>
  </si>
  <si>
    <t>annie549.tw@yahoo.com.tw</t>
  </si>
  <si>
    <t>民富街84巷8號3樓</t>
  </si>
  <si>
    <t>QS51530627</t>
  </si>
  <si>
    <t>M120180340</t>
  </si>
  <si>
    <t>svtc1014@yahoo.com.tw</t>
  </si>
  <si>
    <t>YM71211603</t>
  </si>
  <si>
    <t>Q222647781</t>
  </si>
  <si>
    <t>snow05800531@yahoo.com.tw</t>
  </si>
  <si>
    <t>仁義新村16號4樓</t>
  </si>
  <si>
    <t>YD72128533</t>
  </si>
  <si>
    <t>YC41261122</t>
  </si>
  <si>
    <t>Q222886082</t>
  </si>
  <si>
    <t>k19820725@gmail.com</t>
  </si>
  <si>
    <t>YE41038942</t>
  </si>
  <si>
    <t>qoo6196@yahoocom.tw</t>
  </si>
  <si>
    <t>YD11089866</t>
  </si>
  <si>
    <t>YH64819558</t>
  </si>
  <si>
    <t>YC81815687</t>
  </si>
  <si>
    <t>YM42068624</t>
  </si>
  <si>
    <t>YE04652955</t>
  </si>
  <si>
    <t>H225970825</t>
  </si>
  <si>
    <t>wusuru2002@yahoo.com.tw</t>
  </si>
  <si>
    <t>介壽路一段839號</t>
  </si>
  <si>
    <t>YD80433584</t>
  </si>
  <si>
    <t>YD80417604</t>
  </si>
  <si>
    <t>YH61277347</t>
  </si>
  <si>
    <t>YC79651574</t>
  </si>
  <si>
    <t>K220389719</t>
  </si>
  <si>
    <t>c39807@hotmail.com</t>
  </si>
  <si>
    <t>泰山區</t>
  </si>
  <si>
    <t>楓江路16巷8號</t>
  </si>
  <si>
    <t>YE61245568</t>
  </si>
  <si>
    <t>Q220116336</t>
  </si>
  <si>
    <t>admsyc@ccu.edu.tw</t>
  </si>
  <si>
    <t>嘉義市北社尾路166巷12號</t>
  </si>
  <si>
    <t>YK69453213</t>
  </si>
  <si>
    <t>YK69453214</t>
  </si>
  <si>
    <t>台中港路一段179號2樓</t>
  </si>
  <si>
    <t>a+1</t>
  </si>
  <si>
    <t>QN37760313</t>
  </si>
  <si>
    <t>N226359413</t>
  </si>
  <si>
    <t>bibibo1014@yahoo.com.tw</t>
  </si>
  <si>
    <t>QN37760314</t>
  </si>
  <si>
    <t>N200486997</t>
  </si>
  <si>
    <t>a51022105@yahoo.com.tw</t>
  </si>
  <si>
    <t>YK03522191</t>
  </si>
  <si>
    <t>F123113748</t>
  </si>
  <si>
    <t>mesmerli@hotmail.com</t>
  </si>
  <si>
    <t>仁愛路85號10樓</t>
  </si>
  <si>
    <t>YL18951962</t>
  </si>
  <si>
    <t>YD25143310</t>
  </si>
  <si>
    <t>L221066279</t>
  </si>
  <si>
    <t>平鎮市</t>
  </si>
  <si>
    <t>民族路199號</t>
  </si>
  <si>
    <t>YK90056416</t>
  </si>
  <si>
    <t>H122793646</t>
  </si>
  <si>
    <t>aeroquinn@gmail.com</t>
  </si>
  <si>
    <t>上田里4鄰1號</t>
  </si>
  <si>
    <t>YC51674669</t>
  </si>
  <si>
    <t>L100028599</t>
  </si>
  <si>
    <t>hsuan0724@yahoo.com.tw</t>
  </si>
  <si>
    <t>豐原區</t>
  </si>
  <si>
    <t>圓環東路870號</t>
  </si>
  <si>
    <t>YM52487906</t>
  </si>
  <si>
    <t>A220677019</t>
  </si>
  <si>
    <t>javelin0422@hotmail.com</t>
  </si>
  <si>
    <t>忠孝街31巷25-8號2樓</t>
  </si>
  <si>
    <t>YC51674670</t>
  </si>
  <si>
    <t>YF58885359</t>
  </si>
  <si>
    <t>N222199635</t>
  </si>
  <si>
    <t>n03242002@yahoo.com.tw</t>
  </si>
  <si>
    <t>員林鎮</t>
  </si>
  <si>
    <t>莒光路420號</t>
  </si>
  <si>
    <t>YC05147572</t>
  </si>
  <si>
    <t>E222544482</t>
  </si>
  <si>
    <t>fu20031031@yahoo.com.tw</t>
  </si>
  <si>
    <t>廣昌街125巷27號</t>
  </si>
  <si>
    <t>YD26502063</t>
  </si>
  <si>
    <t>L122798116</t>
  </si>
  <si>
    <t>f680416@yahoo.com.tw</t>
  </si>
  <si>
    <t>忠和里中央路3段136巷21號2樓</t>
  </si>
  <si>
    <t>YD26502065</t>
  </si>
  <si>
    <t>L122345562</t>
  </si>
  <si>
    <t>monolu@kimo.com</t>
  </si>
  <si>
    <t>YD26502064</t>
  </si>
  <si>
    <t>L102785908</t>
  </si>
  <si>
    <t>wsy6968@hotmail.com</t>
  </si>
  <si>
    <t>YD30167573</t>
  </si>
  <si>
    <t>L221332901</t>
  </si>
  <si>
    <t>f680416@hotmail.com</t>
  </si>
  <si>
    <t>YC65611759</t>
  </si>
  <si>
    <t>P123174686</t>
  </si>
  <si>
    <t>galant0630@ymail.com</t>
  </si>
  <si>
    <t>愛一街40之1號</t>
  </si>
  <si>
    <t>YE02541057</t>
  </si>
  <si>
    <t>H123315600</t>
  </si>
  <si>
    <t>vmcaya12@gmail.com</t>
  </si>
  <si>
    <t>龜山鄉</t>
  </si>
  <si>
    <t>自強西路172巷3弄5號3樓</t>
  </si>
  <si>
    <t>??</t>
  </si>
  <si>
    <t>YD01421560</t>
  </si>
  <si>
    <t>YM53079163</t>
  </si>
  <si>
    <t>A221643179</t>
  </si>
  <si>
    <t>ppp10862495@yahoo.com.tw</t>
  </si>
  <si>
    <t>學享街58號8樓之10</t>
  </si>
  <si>
    <t>台灣樂天製菓公司</t>
  </si>
  <si>
    <t>YM25220047</t>
  </si>
  <si>
    <t>A120199947</t>
  </si>
  <si>
    <t>chentzuyi@gmail.com</t>
  </si>
  <si>
    <t>大安區</t>
  </si>
  <si>
    <t>師大路92巷12號</t>
  </si>
  <si>
    <t>YC73618486</t>
  </si>
  <si>
    <t>Q222579902</t>
  </si>
  <si>
    <t>yao1387@hotmail.com</t>
  </si>
  <si>
    <t>慈文路230巷10號</t>
  </si>
  <si>
    <t>YH31414559</t>
  </si>
  <si>
    <t>YM52487347</t>
  </si>
  <si>
    <t>F224400206</t>
  </si>
  <si>
    <t>debby.0914@yahoo.com.tw</t>
  </si>
  <si>
    <t>中正區</t>
  </si>
  <si>
    <t>忠孝東路2段95號1樓</t>
  </si>
  <si>
    <t>YF04018913</t>
  </si>
  <si>
    <t>A121780531</t>
  </si>
  <si>
    <t>YD78674074</t>
  </si>
  <si>
    <t>N223156885</t>
  </si>
  <si>
    <t>shin41611@yahoo.com.tw</t>
  </si>
  <si>
    <t>鹿港鎮</t>
  </si>
  <si>
    <t>東崎里祥和三街6巷9號2樓</t>
  </si>
  <si>
    <t>YE25033246</t>
  </si>
  <si>
    <t>N123877823</t>
  </si>
  <si>
    <t>molin4523@yahoo.com.tw</t>
  </si>
  <si>
    <t>玉順里海浴路45-4號</t>
  </si>
  <si>
    <t>YC02801646</t>
  </si>
  <si>
    <t>YE07653543</t>
  </si>
  <si>
    <t>T222700508</t>
  </si>
  <si>
    <t>a612529@yahoo.com.tw</t>
  </si>
  <si>
    <t>永康區</t>
  </si>
  <si>
    <t>新民街47巷16號6樓之20</t>
  </si>
  <si>
    <t>YF42166366</t>
  </si>
  <si>
    <t>H122279105</t>
  </si>
  <si>
    <t>joyful.ho@gmail.com</t>
  </si>
  <si>
    <t>中和郵政71-234號信箱</t>
  </si>
  <si>
    <t>YF56614970</t>
  </si>
  <si>
    <t>F126834717</t>
  </si>
  <si>
    <t>peter74449@gmail.com</t>
  </si>
  <si>
    <t>民生東路三段127巷8號</t>
  </si>
  <si>
    <t>YE77051122</t>
  </si>
  <si>
    <t>F225495263</t>
  </si>
  <si>
    <t>julia33132@yahoo.com.tw</t>
  </si>
  <si>
    <t>台新街45號8樓</t>
  </si>
  <si>
    <t>YK48785945</t>
  </si>
  <si>
    <t>YC79429120</t>
  </si>
  <si>
    <t>P223015102</t>
  </si>
  <si>
    <t>selina0830@hotmail.com</t>
  </si>
  <si>
    <t>雲林縣</t>
  </si>
  <si>
    <t>西螺鎮</t>
  </si>
  <si>
    <t>中路父137號</t>
  </si>
  <si>
    <t>YC79429119</t>
  </si>
  <si>
    <t>中正路137號</t>
  </si>
  <si>
    <t>YC73602897</t>
  </si>
  <si>
    <t>YD80418125</t>
  </si>
  <si>
    <t>YF20556068</t>
  </si>
  <si>
    <t>YD80418752</t>
  </si>
  <si>
    <t>YC75783276</t>
  </si>
  <si>
    <t>YE70427427</t>
  </si>
  <si>
    <t>P101645720</t>
  </si>
  <si>
    <t>sky5126@yahoo.com.tw</t>
  </si>
  <si>
    <t>二崙鄉</t>
  </si>
  <si>
    <t>港后村安平路15號</t>
  </si>
  <si>
    <t>YL18954066</t>
  </si>
  <si>
    <t>S223071701</t>
  </si>
  <si>
    <t>YK57962031</t>
  </si>
  <si>
    <t>S223985148</t>
  </si>
  <si>
    <t>mininana99@hotmail.com</t>
  </si>
  <si>
    <t>竹塘鄉</t>
  </si>
  <si>
    <t>五庄村竹五路頂庄巷18之29號</t>
  </si>
  <si>
    <t>XV28816205</t>
  </si>
  <si>
    <t>S222701817</t>
  </si>
  <si>
    <t>610206892170@yahoo.com.tw</t>
  </si>
  <si>
    <t>裕昌街68號</t>
  </si>
  <si>
    <t>QT50747600</t>
  </si>
  <si>
    <t>YE70446087</t>
  </si>
  <si>
    <t>P221261553</t>
  </si>
  <si>
    <t>x7w3439@yahoo.com.tw</t>
  </si>
  <si>
    <t>虎尾鎮</t>
  </si>
  <si>
    <t>光復路222號</t>
  </si>
  <si>
    <t>YN94083093</t>
  </si>
  <si>
    <t>F123691087</t>
  </si>
  <si>
    <t>YH60682477</t>
  </si>
  <si>
    <t>YR22335712</t>
  </si>
  <si>
    <t>R223785370</t>
  </si>
  <si>
    <t>greenpak7@yahoo.com.tw</t>
  </si>
  <si>
    <t>旗山區</t>
  </si>
  <si>
    <t>東平里元通路30巷27弄22號</t>
  </si>
  <si>
    <t>YR22335711</t>
  </si>
  <si>
    <t>YR22335710</t>
  </si>
  <si>
    <t>QL82579649</t>
  </si>
  <si>
    <t>A224995269</t>
  </si>
  <si>
    <t>hsuan6691@hotmail.com</t>
  </si>
  <si>
    <t>民生東路5段249號2樓之3</t>
  </si>
  <si>
    <t>YK81228544</t>
  </si>
  <si>
    <t>YL16651616</t>
  </si>
  <si>
    <t>U221164492</t>
  </si>
  <si>
    <t>irenegirl90@gmail.com</t>
  </si>
  <si>
    <t>北投區</t>
  </si>
  <si>
    <t>泉源路39-51號B1-12</t>
  </si>
  <si>
    <t>YE14274353</t>
  </si>
  <si>
    <t>A203182780</t>
  </si>
  <si>
    <t>grtr12345@yahoo.com.tw</t>
  </si>
  <si>
    <t>沙鹿區</t>
  </si>
  <si>
    <t>天仁街40巷22號</t>
  </si>
  <si>
    <t>YE14255910</t>
  </si>
  <si>
    <t>L223179733</t>
  </si>
  <si>
    <t>YK84720361</t>
  </si>
  <si>
    <t>H224965375</t>
  </si>
  <si>
    <t>忠福里華夏一村148號</t>
  </si>
  <si>
    <t>YC61960563</t>
  </si>
  <si>
    <t>A123700684</t>
  </si>
  <si>
    <t>wcwc0919@yahoo.com.tw</t>
  </si>
  <si>
    <t>宜蘭縣</t>
  </si>
  <si>
    <t>宜蘭市</t>
  </si>
  <si>
    <t>慈安路49巷2弄46號4樓</t>
  </si>
  <si>
    <t>YH65443497</t>
  </si>
  <si>
    <t>C220449008</t>
  </si>
  <si>
    <t>uts570615@yahoo.com.tw</t>
  </si>
  <si>
    <t>YN85115422</t>
  </si>
  <si>
    <t>M220266114</t>
  </si>
  <si>
    <t>younghm168@hotmail.com</t>
  </si>
  <si>
    <t>埔里鎮</t>
  </si>
  <si>
    <t>中山路三段63號</t>
  </si>
  <si>
    <t>XV07081538</t>
  </si>
  <si>
    <t>C120366780</t>
  </si>
  <si>
    <t>tony15939@yahoo.com.tw</t>
  </si>
  <si>
    <t>愛七路十四巷11-4號5樓</t>
  </si>
  <si>
    <t>YM52606983</t>
  </si>
  <si>
    <t>F229595693</t>
  </si>
  <si>
    <t>deer.jade@msa.hinet.net</t>
  </si>
  <si>
    <t>金華街10巷48弄16號</t>
  </si>
  <si>
    <t>QS67851977</t>
  </si>
  <si>
    <t>X220057766</t>
  </si>
  <si>
    <t>yung_115@yahoo.com.tw</t>
  </si>
  <si>
    <t>瀋陽北路115號</t>
  </si>
  <si>
    <t>YM63511419</t>
  </si>
  <si>
    <t>L122571884</t>
  </si>
  <si>
    <t>chen8310@yahoo.com.tw</t>
  </si>
  <si>
    <t>新庄里學園路157之1號</t>
  </si>
  <si>
    <t>YC66471990</t>
  </si>
  <si>
    <t>QT53010075</t>
  </si>
  <si>
    <t>F125013072</t>
  </si>
  <si>
    <t>YN86536136</t>
  </si>
  <si>
    <t>樂天台灣製果</t>
  </si>
  <si>
    <t>YE64293108</t>
  </si>
  <si>
    <t>R123432363</t>
  </si>
  <si>
    <t>levo166@yahoo.com.tw</t>
  </si>
  <si>
    <t>大內區</t>
  </si>
  <si>
    <t>石林里227號</t>
  </si>
  <si>
    <t>YC79430967</t>
  </si>
  <si>
    <t>中正路17號</t>
  </si>
  <si>
    <t>YC33061857</t>
  </si>
  <si>
    <t>F224715506</t>
  </si>
  <si>
    <t>cawaii188@yahoo.com.tw</t>
  </si>
  <si>
    <t>新莊路259巷6號5樓</t>
  </si>
  <si>
    <t>YD80420660</t>
  </si>
  <si>
    <t>YD80419854</t>
  </si>
  <si>
    <t>YD80434365</t>
  </si>
  <si>
    <t>YD80419337</t>
  </si>
  <si>
    <t>QR88120218</t>
  </si>
  <si>
    <t>F220730276</t>
  </si>
  <si>
    <t>d8o1g739@yahoo.com.tw</t>
  </si>
  <si>
    <t>學府路136巷42弄6號2樓</t>
  </si>
  <si>
    <t>無</t>
  </si>
  <si>
    <t>XV32361302</t>
  </si>
  <si>
    <t>H223191380</t>
  </si>
  <si>
    <t>yiting091747@gmail.com</t>
  </si>
  <si>
    <t>大勤街70巷17弄27號</t>
  </si>
  <si>
    <t>PU72671550</t>
  </si>
  <si>
    <t>XC65758662</t>
  </si>
  <si>
    <t>QR87920562</t>
  </si>
  <si>
    <t>F124703611</t>
  </si>
  <si>
    <t>ken816@ms68.hinet.net</t>
  </si>
  <si>
    <t>中平路46巷6號2樓</t>
  </si>
  <si>
    <t>QS67051178</t>
  </si>
  <si>
    <t>S220293296</t>
  </si>
  <si>
    <t>ymf47@yahoo.com.tw</t>
  </si>
  <si>
    <t>前金區</t>
  </si>
  <si>
    <t>自強三路203巷44號</t>
  </si>
  <si>
    <t>樂天anytime 三層蜜李</t>
  </si>
  <si>
    <t>QN17971644</t>
  </si>
  <si>
    <t>N226124616</t>
  </si>
  <si>
    <t>polly5513@yahoo.com.tw</t>
  </si>
  <si>
    <t>QT50472330</t>
  </si>
  <si>
    <t>R223922766</t>
  </si>
  <si>
    <t>husn83@gmail.com.tw</t>
  </si>
  <si>
    <t>新營區</t>
  </si>
  <si>
    <t>土庫里129-2號</t>
  </si>
  <si>
    <t>YD48546607</t>
  </si>
</sst>
</file>

<file path=xl/styles.xml><?xml version="1.0" encoding="utf-8"?>
<styleSheet xmlns="http://schemas.openxmlformats.org/spreadsheetml/2006/main" xml:space="preserve">
  <numFmts count="1">
    <numFmt numFmtId="164" formatCode="yy/mm/dd;@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gradientFill type="linear" degree="90">
        <stop position="0">
          <color rgb="FFCCCCCC"/>
        </stop>
        <stop position="1">
          <color rgb="FFCCCCCC"/>
        </stop>
      </gradient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right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203"/>
  <sheetViews>
    <sheetView tabSelected="1" workbookViewId="0" showGridLines="true" showRowColHeaders="1">
      <selection activeCell="O1" sqref="O1"/>
    </sheetView>
  </sheetViews>
  <sheetFormatPr defaultRowHeight="14.4" outlineLevelRow="0" outlineLevelCol="0"/>
  <sheetData>
    <row r="1" spans="1:17">
      <c r="O1" s="2" t="s">
        <v>0</v>
      </c>
    </row>
    <row r="2" spans="1:17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>
      <c r="A3">
        <v>1</v>
      </c>
      <c r="B3" t="s">
        <v>17</v>
      </c>
      <c r="C3" t="s">
        <v>18</v>
      </c>
      <c r="D3" t="str">
        <f>"林佑昇"</f>
        <v>0</v>
      </c>
      <c r="E3" t="s">
        <v>19</v>
      </c>
      <c r="F3" t="s">
        <v>20</v>
      </c>
      <c r="G3">
        <v>1975</v>
      </c>
      <c r="H3">
        <v>10</v>
      </c>
      <c r="I3">
        <v>8</v>
      </c>
      <c r="J3" t="str">
        <f>"04-24515966"</f>
        <v>0</v>
      </c>
      <c r="K3" t="str">
        <f>"0917206088"</f>
        <v>0</v>
      </c>
      <c r="L3" t="s">
        <v>21</v>
      </c>
      <c r="M3" t="s">
        <v>22</v>
      </c>
      <c r="N3" t="s">
        <v>23</v>
      </c>
      <c r="O3" t="s">
        <v>24</v>
      </c>
      <c r="P3" t="s">
        <v>25</v>
      </c>
      <c r="Q3">
        <v>29</v>
      </c>
    </row>
    <row r="4" spans="1:17">
      <c r="A4">
        <v>2</v>
      </c>
      <c r="B4" t="s">
        <v>17</v>
      </c>
      <c r="C4" t="s">
        <v>26</v>
      </c>
      <c r="D4" t="str">
        <f>"宋新豪"</f>
        <v>0</v>
      </c>
      <c r="E4" t="s">
        <v>19</v>
      </c>
      <c r="F4" t="s">
        <v>27</v>
      </c>
      <c r="G4">
        <v>1986</v>
      </c>
      <c r="H4">
        <v>5</v>
      </c>
      <c r="I4">
        <v>29</v>
      </c>
      <c r="J4" t="str">
        <f>"0958-823829"</f>
        <v>0</v>
      </c>
      <c r="K4" t="str">
        <f>"0958823829"</f>
        <v>0</v>
      </c>
      <c r="L4" t="s">
        <v>28</v>
      </c>
      <c r="M4" t="s">
        <v>29</v>
      </c>
      <c r="N4" t="s">
        <v>30</v>
      </c>
      <c r="O4" t="s">
        <v>31</v>
      </c>
      <c r="P4" t="s">
        <v>25</v>
      </c>
      <c r="Q4">
        <v>29</v>
      </c>
    </row>
    <row r="5" spans="1:17">
      <c r="A5">
        <v>3</v>
      </c>
      <c r="B5" t="s">
        <v>32</v>
      </c>
      <c r="C5" t="s">
        <v>33</v>
      </c>
      <c r="D5" t="str">
        <f>"吳雅雯"</f>
        <v>0</v>
      </c>
      <c r="E5" t="s">
        <v>34</v>
      </c>
      <c r="F5" t="s">
        <v>35</v>
      </c>
      <c r="G5">
        <v>1980</v>
      </c>
      <c r="H5">
        <v>1</v>
      </c>
      <c r="I5">
        <v>1</v>
      </c>
      <c r="J5" t="str">
        <f>"07-3531012"</f>
        <v>0</v>
      </c>
      <c r="K5" t="str">
        <f>"0958775137"</f>
        <v>0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>
        <v>29</v>
      </c>
    </row>
    <row r="6" spans="1:17">
      <c r="A6">
        <v>4</v>
      </c>
      <c r="B6" t="s">
        <v>41</v>
      </c>
      <c r="C6" t="s">
        <v>42</v>
      </c>
      <c r="D6" t="str">
        <f>"黃惠敏"</f>
        <v>0</v>
      </c>
      <c r="E6" t="s">
        <v>34</v>
      </c>
      <c r="F6" t="s">
        <v>43</v>
      </c>
      <c r="G6">
        <v>1991</v>
      </c>
      <c r="H6">
        <v>4</v>
      </c>
      <c r="I6">
        <v>28</v>
      </c>
      <c r="J6" t="str">
        <f>"07-5515409"</f>
        <v>0</v>
      </c>
      <c r="K6" t="str">
        <f>"0928326664"</f>
        <v>0</v>
      </c>
      <c r="L6" t="s">
        <v>44</v>
      </c>
      <c r="M6" t="s">
        <v>37</v>
      </c>
      <c r="N6" t="s">
        <v>45</v>
      </c>
      <c r="O6" t="s">
        <v>46</v>
      </c>
      <c r="P6" t="s">
        <v>47</v>
      </c>
      <c r="Q6">
        <v>29</v>
      </c>
    </row>
    <row r="7" spans="1:17">
      <c r="A7">
        <v>5</v>
      </c>
      <c r="B7" t="s">
        <v>48</v>
      </c>
      <c r="C7" t="s">
        <v>49</v>
      </c>
      <c r="D7" t="str">
        <f>"孫幸嫻"</f>
        <v>0</v>
      </c>
      <c r="E7" t="s">
        <v>34</v>
      </c>
      <c r="F7" t="s">
        <v>50</v>
      </c>
      <c r="G7">
        <v>1980</v>
      </c>
      <c r="H7">
        <v>3</v>
      </c>
      <c r="I7">
        <v>31</v>
      </c>
      <c r="J7" t="str">
        <f>"02-22679000"</f>
        <v>0</v>
      </c>
      <c r="K7" t="str">
        <f>"0968167257"</f>
        <v>0</v>
      </c>
      <c r="L7" t="s">
        <v>51</v>
      </c>
      <c r="M7" t="s">
        <v>29</v>
      </c>
      <c r="N7" t="s">
        <v>52</v>
      </c>
      <c r="O7" t="s">
        <v>53</v>
      </c>
      <c r="P7" t="s">
        <v>25</v>
      </c>
      <c r="Q7">
        <v>29</v>
      </c>
    </row>
    <row r="8" spans="1:17">
      <c r="A8">
        <v>6</v>
      </c>
      <c r="B8" t="s">
        <v>17</v>
      </c>
      <c r="C8" t="s">
        <v>54</v>
      </c>
      <c r="D8" t="str">
        <f>"吳雅雯"</f>
        <v>0</v>
      </c>
      <c r="E8" t="s">
        <v>34</v>
      </c>
      <c r="F8" t="s">
        <v>35</v>
      </c>
      <c r="G8">
        <v>1980</v>
      </c>
      <c r="H8">
        <v>1</v>
      </c>
      <c r="I8">
        <v>1</v>
      </c>
      <c r="J8" t="str">
        <f>"07-3531012"</f>
        <v>0</v>
      </c>
      <c r="K8" t="str">
        <f>"0958775137"</f>
        <v>0</v>
      </c>
      <c r="L8" t="s">
        <v>36</v>
      </c>
      <c r="M8" t="s">
        <v>37</v>
      </c>
      <c r="N8" t="s">
        <v>38</v>
      </c>
      <c r="O8" t="s">
        <v>39</v>
      </c>
      <c r="P8" t="s">
        <v>40</v>
      </c>
      <c r="Q8">
        <v>29</v>
      </c>
    </row>
    <row r="9" spans="1:17">
      <c r="A9">
        <v>7</v>
      </c>
      <c r="B9" t="s">
        <v>17</v>
      </c>
      <c r="C9" t="s">
        <v>55</v>
      </c>
      <c r="D9" t="str">
        <f>"莊鳳郡"</f>
        <v>0</v>
      </c>
      <c r="E9" t="s">
        <v>34</v>
      </c>
      <c r="F9" t="s">
        <v>56</v>
      </c>
      <c r="G9">
        <v>1974</v>
      </c>
      <c r="H9">
        <v>3</v>
      </c>
      <c r="I9">
        <v>14</v>
      </c>
      <c r="J9" t="str">
        <f>"0929-650060"</f>
        <v>0</v>
      </c>
      <c r="K9" t="str">
        <f>"0929650060"</f>
        <v>0</v>
      </c>
      <c r="L9" t="s">
        <v>57</v>
      </c>
      <c r="M9" t="s">
        <v>37</v>
      </c>
      <c r="N9" t="s">
        <v>58</v>
      </c>
      <c r="O9" t="s">
        <v>59</v>
      </c>
      <c r="P9" t="s">
        <v>40</v>
      </c>
      <c r="Q9">
        <v>29</v>
      </c>
    </row>
    <row r="10" spans="1:17">
      <c r="A10">
        <v>8</v>
      </c>
      <c r="B10" t="s">
        <v>32</v>
      </c>
      <c r="C10" t="s">
        <v>60</v>
      </c>
      <c r="D10" t="str">
        <f>"周炳松"</f>
        <v>0</v>
      </c>
      <c r="E10" t="s">
        <v>19</v>
      </c>
      <c r="F10" t="s">
        <v>61</v>
      </c>
      <c r="G10">
        <v>1972</v>
      </c>
      <c r="H10">
        <v>3</v>
      </c>
      <c r="I10">
        <v>6</v>
      </c>
      <c r="J10" t="str">
        <f>"02-25948302"</f>
        <v>0</v>
      </c>
      <c r="K10" t="str">
        <f>"0928902055"</f>
        <v>0</v>
      </c>
      <c r="L10" t="s">
        <v>62</v>
      </c>
      <c r="M10" t="s">
        <v>63</v>
      </c>
      <c r="N10" t="s">
        <v>64</v>
      </c>
      <c r="O10" t="s">
        <v>65</v>
      </c>
      <c r="P10" t="s">
        <v>66</v>
      </c>
      <c r="Q10">
        <v>29</v>
      </c>
    </row>
    <row r="11" spans="1:17">
      <c r="A11">
        <v>9</v>
      </c>
      <c r="B11" t="s">
        <v>48</v>
      </c>
      <c r="C11" t="s">
        <v>67</v>
      </c>
      <c r="D11" t="str">
        <f>"吳雅雯"</f>
        <v>0</v>
      </c>
      <c r="E11" t="s">
        <v>34</v>
      </c>
      <c r="F11" t="s">
        <v>35</v>
      </c>
      <c r="G11">
        <v>1980</v>
      </c>
      <c r="H11">
        <v>1</v>
      </c>
      <c r="I11">
        <v>1</v>
      </c>
      <c r="J11" t="str">
        <f>"07-3531012"</f>
        <v>0</v>
      </c>
      <c r="K11" t="str">
        <f>"0958775137"</f>
        <v>0</v>
      </c>
      <c r="L11" t="s">
        <v>68</v>
      </c>
      <c r="M11" t="s">
        <v>37</v>
      </c>
      <c r="N11" t="s">
        <v>38</v>
      </c>
      <c r="O11" t="s">
        <v>39</v>
      </c>
      <c r="P11" t="s">
        <v>40</v>
      </c>
      <c r="Q11">
        <v>29</v>
      </c>
    </row>
    <row r="12" spans="1:17">
      <c r="A12">
        <v>10</v>
      </c>
      <c r="B12" t="s">
        <v>32</v>
      </c>
      <c r="C12" t="s">
        <v>69</v>
      </c>
      <c r="D12" t="str">
        <f>"許郁珮"</f>
        <v>0</v>
      </c>
      <c r="E12" t="s">
        <v>34</v>
      </c>
      <c r="F12" t="s">
        <v>70</v>
      </c>
      <c r="G12">
        <v>1988</v>
      </c>
      <c r="H12">
        <v>8</v>
      </c>
      <c r="I12">
        <v>8</v>
      </c>
      <c r="J12" t="str">
        <f>"03-3792585"</f>
        <v>0</v>
      </c>
      <c r="K12" t="str">
        <f>"0989291006"</f>
        <v>0</v>
      </c>
      <c r="L12" t="s">
        <v>71</v>
      </c>
      <c r="M12" t="s">
        <v>72</v>
      </c>
      <c r="N12" t="s">
        <v>73</v>
      </c>
      <c r="O12" t="s">
        <v>74</v>
      </c>
      <c r="P12" t="s">
        <v>25</v>
      </c>
      <c r="Q12">
        <v>25</v>
      </c>
    </row>
    <row r="13" spans="1:17">
      <c r="A13">
        <v>11</v>
      </c>
      <c r="B13" t="s">
        <v>41</v>
      </c>
      <c r="C13" t="s">
        <v>75</v>
      </c>
      <c r="D13" t="str">
        <f>"黃淑婷"</f>
        <v>0</v>
      </c>
      <c r="E13" t="s">
        <v>34</v>
      </c>
      <c r="F13" t="s">
        <v>76</v>
      </c>
      <c r="G13">
        <v>1986</v>
      </c>
      <c r="H13">
        <v>10</v>
      </c>
      <c r="I13">
        <v>29</v>
      </c>
      <c r="J13" t="str">
        <f>"0928-326664"</f>
        <v>0</v>
      </c>
      <c r="K13" t="str">
        <f>"0928326664"</f>
        <v>0</v>
      </c>
      <c r="L13" t="s">
        <v>77</v>
      </c>
      <c r="M13" t="s">
        <v>37</v>
      </c>
      <c r="N13" t="s">
        <v>45</v>
      </c>
      <c r="O13" t="s">
        <v>46</v>
      </c>
      <c r="P13" t="s">
        <v>47</v>
      </c>
      <c r="Q13">
        <v>29</v>
      </c>
    </row>
    <row r="14" spans="1:17">
      <c r="A14">
        <v>12</v>
      </c>
      <c r="B14" t="s">
        <v>41</v>
      </c>
      <c r="C14" t="s">
        <v>78</v>
      </c>
      <c r="D14" t="str">
        <f>"莊鳳瑛"</f>
        <v>0</v>
      </c>
      <c r="E14" t="s">
        <v>34</v>
      </c>
      <c r="F14" t="s">
        <v>79</v>
      </c>
      <c r="G14">
        <v>1967</v>
      </c>
      <c r="H14">
        <v>12</v>
      </c>
      <c r="I14">
        <v>13</v>
      </c>
      <c r="J14" t="str">
        <f>"0928-326664"</f>
        <v>0</v>
      </c>
      <c r="K14" t="str">
        <f>"0928326664"</f>
        <v>0</v>
      </c>
      <c r="L14" t="s">
        <v>80</v>
      </c>
      <c r="M14" t="s">
        <v>37</v>
      </c>
      <c r="N14" t="s">
        <v>45</v>
      </c>
      <c r="O14" t="s">
        <v>46</v>
      </c>
      <c r="P14" t="s">
        <v>47</v>
      </c>
      <c r="Q14">
        <v>29</v>
      </c>
    </row>
    <row r="15" spans="1:17">
      <c r="A15">
        <v>13</v>
      </c>
      <c r="B15" t="s">
        <v>17</v>
      </c>
      <c r="C15" t="s">
        <v>81</v>
      </c>
      <c r="D15" t="str">
        <f>"黃惠嬌"</f>
        <v>0</v>
      </c>
      <c r="E15" t="s">
        <v>34</v>
      </c>
      <c r="F15" t="s">
        <v>82</v>
      </c>
      <c r="G15">
        <v>1978</v>
      </c>
      <c r="H15">
        <v>8</v>
      </c>
      <c r="I15">
        <v>2</v>
      </c>
      <c r="J15" t="str">
        <f>"0927-601513"</f>
        <v>0</v>
      </c>
      <c r="K15" t="str">
        <f>"0927601513"</f>
        <v>0</v>
      </c>
      <c r="L15" t="s">
        <v>83</v>
      </c>
      <c r="M15" t="s">
        <v>72</v>
      </c>
      <c r="N15" t="s">
        <v>84</v>
      </c>
      <c r="O15" t="s">
        <v>85</v>
      </c>
      <c r="P15" t="s">
        <v>25</v>
      </c>
      <c r="Q15">
        <v>29</v>
      </c>
    </row>
    <row r="16" spans="1:17">
      <c r="A16">
        <v>14</v>
      </c>
      <c r="B16" t="s">
        <v>48</v>
      </c>
      <c r="C16" t="s">
        <v>86</v>
      </c>
      <c r="D16" t="str">
        <f>"羅鈺婷"</f>
        <v>0</v>
      </c>
      <c r="E16" t="s">
        <v>34</v>
      </c>
      <c r="F16" t="s">
        <v>87</v>
      </c>
      <c r="G16">
        <v>2006</v>
      </c>
      <c r="H16">
        <v>3</v>
      </c>
      <c r="I16">
        <v>7</v>
      </c>
      <c r="J16" t="str">
        <f>"0972-099911"</f>
        <v>0</v>
      </c>
      <c r="K16" t="str">
        <f>"0972099911"</f>
        <v>0</v>
      </c>
      <c r="L16" t="s">
        <v>88</v>
      </c>
      <c r="M16" t="s">
        <v>22</v>
      </c>
      <c r="N16" t="s">
        <v>89</v>
      </c>
      <c r="O16" t="s">
        <v>90</v>
      </c>
      <c r="P16" t="s">
        <v>91</v>
      </c>
      <c r="Q16">
        <v>29</v>
      </c>
    </row>
    <row r="17" spans="1:17">
      <c r="A17">
        <v>15</v>
      </c>
      <c r="B17" t="s">
        <v>48</v>
      </c>
      <c r="C17" t="s">
        <v>92</v>
      </c>
      <c r="D17" t="str">
        <f>"羅映涵"</f>
        <v>0</v>
      </c>
      <c r="E17" t="s">
        <v>34</v>
      </c>
      <c r="F17" t="s">
        <v>93</v>
      </c>
      <c r="G17">
        <v>2003</v>
      </c>
      <c r="H17">
        <v>10</v>
      </c>
      <c r="I17">
        <v>27</v>
      </c>
      <c r="J17" t="str">
        <f>"0972-099911"</f>
        <v>0</v>
      </c>
      <c r="K17" t="str">
        <f>"0972099911"</f>
        <v>0</v>
      </c>
      <c r="L17" t="s">
        <v>88</v>
      </c>
      <c r="M17" t="s">
        <v>22</v>
      </c>
      <c r="N17" t="s">
        <v>89</v>
      </c>
      <c r="O17" t="s">
        <v>90</v>
      </c>
      <c r="P17" t="s">
        <v>91</v>
      </c>
      <c r="Q17">
        <v>29</v>
      </c>
    </row>
    <row r="18" spans="1:17">
      <c r="A18">
        <v>16</v>
      </c>
      <c r="B18" t="s">
        <v>32</v>
      </c>
      <c r="C18" t="s">
        <v>94</v>
      </c>
      <c r="D18" t="str">
        <f>"周樹木"</f>
        <v>0</v>
      </c>
      <c r="E18" t="s">
        <v>19</v>
      </c>
      <c r="F18" t="s">
        <v>95</v>
      </c>
      <c r="G18">
        <v>1954</v>
      </c>
      <c r="H18">
        <v>5</v>
      </c>
      <c r="I18">
        <v>10</v>
      </c>
      <c r="J18" t="str">
        <f>"0972-099911"</f>
        <v>0</v>
      </c>
      <c r="K18" t="str">
        <f>"0972099911"</f>
        <v>0</v>
      </c>
      <c r="L18" t="s">
        <v>88</v>
      </c>
      <c r="M18" t="s">
        <v>22</v>
      </c>
      <c r="N18" t="s">
        <v>89</v>
      </c>
      <c r="O18" t="s">
        <v>90</v>
      </c>
      <c r="P18" t="s">
        <v>91</v>
      </c>
      <c r="Q18">
        <v>25</v>
      </c>
    </row>
    <row r="19" spans="1:17">
      <c r="A19">
        <v>17</v>
      </c>
      <c r="B19" t="s">
        <v>32</v>
      </c>
      <c r="C19" t="s">
        <v>96</v>
      </c>
      <c r="D19" t="str">
        <f>"周成龍"</f>
        <v>0</v>
      </c>
      <c r="E19" t="s">
        <v>19</v>
      </c>
      <c r="F19" t="s">
        <v>97</v>
      </c>
      <c r="G19">
        <v>1984</v>
      </c>
      <c r="H19">
        <v>7</v>
      </c>
      <c r="I19">
        <v>24</v>
      </c>
      <c r="J19" t="str">
        <f>"0972-099911"</f>
        <v>0</v>
      </c>
      <c r="K19" t="str">
        <f>"0972099911"</f>
        <v>0</v>
      </c>
      <c r="L19" t="s">
        <v>88</v>
      </c>
      <c r="M19" t="s">
        <v>22</v>
      </c>
      <c r="N19" t="s">
        <v>98</v>
      </c>
      <c r="O19" t="s">
        <v>90</v>
      </c>
      <c r="P19" t="s">
        <v>91</v>
      </c>
      <c r="Q19">
        <v>25</v>
      </c>
    </row>
    <row r="20" spans="1:17">
      <c r="A20">
        <v>18</v>
      </c>
      <c r="B20" t="s">
        <v>17</v>
      </c>
      <c r="C20" t="s">
        <v>99</v>
      </c>
      <c r="D20" t="str">
        <f>"周庭瑩"</f>
        <v>0</v>
      </c>
      <c r="E20" t="s">
        <v>34</v>
      </c>
      <c r="F20" t="s">
        <v>100</v>
      </c>
      <c r="G20">
        <v>1978</v>
      </c>
      <c r="H20">
        <v>3</v>
      </c>
      <c r="I20">
        <v>19</v>
      </c>
      <c r="J20" t="str">
        <f>"0972-099911"</f>
        <v>0</v>
      </c>
      <c r="K20" t="str">
        <f>"0972099911"</f>
        <v>0</v>
      </c>
      <c r="L20" t="s">
        <v>88</v>
      </c>
      <c r="M20" t="s">
        <v>22</v>
      </c>
      <c r="N20" t="s">
        <v>89</v>
      </c>
      <c r="O20" t="s">
        <v>90</v>
      </c>
      <c r="P20" t="s">
        <v>91</v>
      </c>
      <c r="Q20">
        <v>25</v>
      </c>
    </row>
    <row r="21" spans="1:17">
      <c r="A21">
        <v>19</v>
      </c>
      <c r="B21" t="s">
        <v>17</v>
      </c>
      <c r="C21" t="s">
        <v>101</v>
      </c>
      <c r="D21" t="str">
        <f>"周如芳"</f>
        <v>0</v>
      </c>
      <c r="E21" t="s">
        <v>34</v>
      </c>
      <c r="F21" t="s">
        <v>102</v>
      </c>
      <c r="G21">
        <v>1976</v>
      </c>
      <c r="H21">
        <v>8</v>
      </c>
      <c r="I21">
        <v>30</v>
      </c>
      <c r="J21" t="str">
        <f>"0972-099911"</f>
        <v>0</v>
      </c>
      <c r="K21" t="str">
        <f>"0972099911"</f>
        <v>0</v>
      </c>
      <c r="L21" t="s">
        <v>88</v>
      </c>
      <c r="M21" t="s">
        <v>22</v>
      </c>
      <c r="N21" t="s">
        <v>89</v>
      </c>
      <c r="O21" t="s">
        <v>90</v>
      </c>
      <c r="P21" t="s">
        <v>91</v>
      </c>
      <c r="Q21">
        <v>29</v>
      </c>
    </row>
    <row r="22" spans="1:17">
      <c r="A22">
        <v>20</v>
      </c>
      <c r="B22" t="s">
        <v>17</v>
      </c>
      <c r="C22" t="s">
        <v>103</v>
      </c>
      <c r="D22" t="str">
        <f>"周樹木"</f>
        <v>0</v>
      </c>
      <c r="E22" t="s">
        <v>19</v>
      </c>
      <c r="F22" t="s">
        <v>95</v>
      </c>
      <c r="G22">
        <v>1954</v>
      </c>
      <c r="H22">
        <v>5</v>
      </c>
      <c r="I22">
        <v>11</v>
      </c>
      <c r="J22" t="str">
        <f>"0972-099911"</f>
        <v>0</v>
      </c>
      <c r="K22" t="str">
        <f>"0972099911"</f>
        <v>0</v>
      </c>
      <c r="L22" t="s">
        <v>88</v>
      </c>
      <c r="M22" t="s">
        <v>22</v>
      </c>
      <c r="N22" t="s">
        <v>89</v>
      </c>
      <c r="O22" t="s">
        <v>90</v>
      </c>
      <c r="P22" t="s">
        <v>104</v>
      </c>
      <c r="Q22">
        <v>29</v>
      </c>
    </row>
    <row r="23" spans="1:17">
      <c r="A23">
        <v>21</v>
      </c>
      <c r="B23" t="s">
        <v>17</v>
      </c>
      <c r="C23" t="s">
        <v>105</v>
      </c>
      <c r="D23" t="str">
        <f>"周成龍"</f>
        <v>0</v>
      </c>
      <c r="E23" t="s">
        <v>19</v>
      </c>
      <c r="F23" t="s">
        <v>97</v>
      </c>
      <c r="G23">
        <v>1985</v>
      </c>
      <c r="H23">
        <v>7</v>
      </c>
      <c r="I23">
        <v>24</v>
      </c>
      <c r="J23" t="str">
        <f>"0972-099911"</f>
        <v>0</v>
      </c>
      <c r="K23" t="str">
        <f>"0972099911"</f>
        <v>0</v>
      </c>
      <c r="L23" t="s">
        <v>88</v>
      </c>
      <c r="M23" t="s">
        <v>22</v>
      </c>
      <c r="N23" t="s">
        <v>89</v>
      </c>
      <c r="O23" t="s">
        <v>90</v>
      </c>
      <c r="P23" t="s">
        <v>91</v>
      </c>
      <c r="Q23">
        <v>29</v>
      </c>
    </row>
    <row r="24" spans="1:17">
      <c r="A24">
        <v>22</v>
      </c>
      <c r="B24" t="s">
        <v>17</v>
      </c>
      <c r="C24" t="s">
        <v>106</v>
      </c>
      <c r="D24" t="str">
        <f>"廖國佑"</f>
        <v>0</v>
      </c>
      <c r="E24" t="s">
        <v>19</v>
      </c>
      <c r="F24" t="s">
        <v>107</v>
      </c>
      <c r="G24">
        <v>1977</v>
      </c>
      <c r="H24">
        <v>8</v>
      </c>
      <c r="I24">
        <v>8</v>
      </c>
      <c r="J24" t="str">
        <f>"0972-099911"</f>
        <v>0</v>
      </c>
      <c r="K24" t="str">
        <f>"0972099911"</f>
        <v>0</v>
      </c>
      <c r="L24" t="s">
        <v>88</v>
      </c>
      <c r="M24" t="s">
        <v>22</v>
      </c>
      <c r="N24" t="s">
        <v>89</v>
      </c>
      <c r="O24" t="s">
        <v>90</v>
      </c>
      <c r="P24" t="s">
        <v>91</v>
      </c>
      <c r="Q24">
        <v>29</v>
      </c>
    </row>
    <row r="25" spans="1:17">
      <c r="A25">
        <v>23</v>
      </c>
      <c r="B25" t="s">
        <v>48</v>
      </c>
      <c r="C25" t="s">
        <v>108</v>
      </c>
      <c r="D25" t="str">
        <f>"蘇乙泰"</f>
        <v>0</v>
      </c>
      <c r="E25" t="s">
        <v>19</v>
      </c>
      <c r="F25" t="s">
        <v>109</v>
      </c>
      <c r="G25">
        <v>1973</v>
      </c>
      <c r="H25">
        <v>3</v>
      </c>
      <c r="I25">
        <v>2</v>
      </c>
      <c r="J25" t="str">
        <f>"04-24534377"</f>
        <v>0</v>
      </c>
      <c r="K25" t="str">
        <f>"0932510338"</f>
        <v>0</v>
      </c>
      <c r="L25" t="s">
        <v>110</v>
      </c>
      <c r="M25" t="s">
        <v>22</v>
      </c>
      <c r="N25" t="s">
        <v>23</v>
      </c>
      <c r="O25" t="s">
        <v>111</v>
      </c>
      <c r="P25" t="s">
        <v>40</v>
      </c>
      <c r="Q25">
        <v>29</v>
      </c>
    </row>
    <row r="26" spans="1:17">
      <c r="A26">
        <v>24</v>
      </c>
      <c r="B26" t="s">
        <v>17</v>
      </c>
      <c r="C26" t="s">
        <v>112</v>
      </c>
      <c r="D26" t="str">
        <f>"廖薏棋"</f>
        <v>0</v>
      </c>
      <c r="E26" t="s">
        <v>34</v>
      </c>
      <c r="F26" t="s">
        <v>113</v>
      </c>
      <c r="G26">
        <v>1996</v>
      </c>
      <c r="H26">
        <v>12</v>
      </c>
      <c r="I26">
        <v>17</v>
      </c>
      <c r="J26" t="str">
        <f>"0972-099911"</f>
        <v>0</v>
      </c>
      <c r="K26" t="str">
        <f>"0972099911"</f>
        <v>0</v>
      </c>
      <c r="L26" t="s">
        <v>88</v>
      </c>
      <c r="M26" t="s">
        <v>22</v>
      </c>
      <c r="N26" t="s">
        <v>89</v>
      </c>
      <c r="O26" t="s">
        <v>90</v>
      </c>
      <c r="P26" t="s">
        <v>91</v>
      </c>
      <c r="Q26">
        <v>29</v>
      </c>
    </row>
    <row r="27" spans="1:17">
      <c r="A27">
        <v>25</v>
      </c>
      <c r="B27" t="s">
        <v>17</v>
      </c>
      <c r="C27" t="s">
        <v>114</v>
      </c>
      <c r="D27" t="str">
        <f>"廖哲麟"</f>
        <v>0</v>
      </c>
      <c r="E27" t="s">
        <v>19</v>
      </c>
      <c r="F27" t="s">
        <v>115</v>
      </c>
      <c r="G27">
        <v>1999</v>
      </c>
      <c r="H27">
        <v>4</v>
      </c>
      <c r="I27">
        <v>9</v>
      </c>
      <c r="J27" t="str">
        <f>"0972-099911"</f>
        <v>0</v>
      </c>
      <c r="K27" t="str">
        <f>"0972099911"</f>
        <v>0</v>
      </c>
      <c r="L27" t="s">
        <v>88</v>
      </c>
      <c r="M27" t="s">
        <v>22</v>
      </c>
      <c r="N27" t="s">
        <v>89</v>
      </c>
      <c r="O27" t="s">
        <v>90</v>
      </c>
      <c r="P27" t="s">
        <v>91</v>
      </c>
      <c r="Q27">
        <v>29</v>
      </c>
    </row>
    <row r="28" spans="1:17">
      <c r="A28">
        <v>26</v>
      </c>
      <c r="B28" t="s">
        <v>17</v>
      </c>
      <c r="C28" t="s">
        <v>116</v>
      </c>
      <c r="D28" t="str">
        <f>"廖曾玉螺"</f>
        <v>0</v>
      </c>
      <c r="E28" t="s">
        <v>34</v>
      </c>
      <c r="F28" t="s">
        <v>117</v>
      </c>
      <c r="G28">
        <v>1955</v>
      </c>
      <c r="H28">
        <v>8</v>
      </c>
      <c r="I28">
        <v>13</v>
      </c>
      <c r="J28" t="str">
        <f>"0972-0972099911"</f>
        <v>0</v>
      </c>
      <c r="K28" t="str">
        <f>"0972099911"</f>
        <v>0</v>
      </c>
      <c r="L28" t="s">
        <v>88</v>
      </c>
      <c r="M28" t="s">
        <v>22</v>
      </c>
      <c r="N28" t="s">
        <v>89</v>
      </c>
      <c r="O28" t="s">
        <v>90</v>
      </c>
      <c r="P28" t="s">
        <v>91</v>
      </c>
      <c r="Q28">
        <v>29</v>
      </c>
    </row>
    <row r="29" spans="1:17">
      <c r="A29">
        <v>27</v>
      </c>
      <c r="B29" t="s">
        <v>41</v>
      </c>
      <c r="C29" t="s">
        <v>118</v>
      </c>
      <c r="D29" t="str">
        <f>"林承虹"</f>
        <v>0</v>
      </c>
      <c r="E29" t="s">
        <v>34</v>
      </c>
      <c r="F29" t="s">
        <v>119</v>
      </c>
      <c r="G29">
        <v>1985</v>
      </c>
      <c r="H29">
        <v>10</v>
      </c>
      <c r="I29">
        <v>10</v>
      </c>
      <c r="J29" t="str">
        <f>"0985-576455"</f>
        <v>0</v>
      </c>
      <c r="K29" t="str">
        <f>"0985576455"</f>
        <v>0</v>
      </c>
      <c r="L29" t="s">
        <v>120</v>
      </c>
      <c r="M29" t="s">
        <v>22</v>
      </c>
      <c r="N29" t="s">
        <v>121</v>
      </c>
      <c r="O29" t="s">
        <v>122</v>
      </c>
      <c r="P29" t="s">
        <v>25</v>
      </c>
      <c r="Q29">
        <v>29</v>
      </c>
    </row>
    <row r="30" spans="1:17">
      <c r="A30">
        <v>28</v>
      </c>
      <c r="B30" t="s">
        <v>41</v>
      </c>
      <c r="C30" t="s">
        <v>123</v>
      </c>
      <c r="D30" t="str">
        <f>"林明毅"</f>
        <v>0</v>
      </c>
      <c r="E30" t="s">
        <v>19</v>
      </c>
      <c r="F30" t="s">
        <v>124</v>
      </c>
      <c r="G30">
        <v>1988</v>
      </c>
      <c r="H30">
        <v>2</v>
      </c>
      <c r="I30">
        <v>16</v>
      </c>
      <c r="J30" t="str">
        <f>"0987-957625"</f>
        <v>0</v>
      </c>
      <c r="K30" t="str">
        <f>"0987957625"</f>
        <v>0</v>
      </c>
      <c r="L30" t="s">
        <v>125</v>
      </c>
      <c r="M30" t="s">
        <v>22</v>
      </c>
      <c r="N30" t="s">
        <v>126</v>
      </c>
      <c r="O30" t="s">
        <v>127</v>
      </c>
      <c r="P30" t="s">
        <v>25</v>
      </c>
      <c r="Q30">
        <v>29</v>
      </c>
    </row>
    <row r="31" spans="1:17">
      <c r="A31">
        <v>29</v>
      </c>
      <c r="B31" t="s">
        <v>41</v>
      </c>
      <c r="C31" t="s">
        <v>128</v>
      </c>
      <c r="D31" t="str">
        <f>"林慧貞"</f>
        <v>0</v>
      </c>
      <c r="E31" t="s">
        <v>34</v>
      </c>
      <c r="F31" t="s">
        <v>129</v>
      </c>
      <c r="G31">
        <v>1983</v>
      </c>
      <c r="H31">
        <v>9</v>
      </c>
      <c r="I31">
        <v>19</v>
      </c>
      <c r="J31" t="str">
        <f>"0911-773367"</f>
        <v>0</v>
      </c>
      <c r="K31" t="str">
        <f>"0911773367"</f>
        <v>0</v>
      </c>
      <c r="L31" t="s">
        <v>130</v>
      </c>
      <c r="M31" t="s">
        <v>22</v>
      </c>
      <c r="N31" t="s">
        <v>126</v>
      </c>
      <c r="O31" t="s">
        <v>131</v>
      </c>
      <c r="P31" t="s">
        <v>25</v>
      </c>
      <c r="Q31">
        <v>29</v>
      </c>
    </row>
    <row r="32" spans="1:17">
      <c r="A32">
        <v>30</v>
      </c>
      <c r="B32" t="s">
        <v>41</v>
      </c>
      <c r="C32" t="s">
        <v>132</v>
      </c>
      <c r="D32" t="str">
        <f>"陳俊憲"</f>
        <v>0</v>
      </c>
      <c r="E32" t="s">
        <v>19</v>
      </c>
      <c r="F32" t="s">
        <v>133</v>
      </c>
      <c r="G32">
        <v>1980</v>
      </c>
      <c r="H32">
        <v>9</v>
      </c>
      <c r="I32">
        <v>19</v>
      </c>
      <c r="J32" t="str">
        <f>"0911-190406"</f>
        <v>0</v>
      </c>
      <c r="K32" t="str">
        <f>"0911190406"</f>
        <v>0</v>
      </c>
      <c r="L32" t="s">
        <v>134</v>
      </c>
      <c r="M32" t="s">
        <v>22</v>
      </c>
      <c r="N32" t="s">
        <v>126</v>
      </c>
      <c r="O32" t="s">
        <v>135</v>
      </c>
      <c r="P32" t="s">
        <v>25</v>
      </c>
      <c r="Q32">
        <v>29</v>
      </c>
    </row>
    <row r="33" spans="1:17">
      <c r="A33">
        <v>31</v>
      </c>
      <c r="B33" t="s">
        <v>41</v>
      </c>
      <c r="C33" t="s">
        <v>136</v>
      </c>
      <c r="D33" t="str">
        <f>"林朝成"</f>
        <v>0</v>
      </c>
      <c r="E33" t="s">
        <v>19</v>
      </c>
      <c r="F33" t="s">
        <v>137</v>
      </c>
      <c r="G33">
        <v>1950</v>
      </c>
      <c r="H33">
        <v>12</v>
      </c>
      <c r="I33">
        <v>3</v>
      </c>
      <c r="J33" t="str">
        <f>"0953-329221"</f>
        <v>0</v>
      </c>
      <c r="K33" t="str">
        <f>"0953329221"</f>
        <v>0</v>
      </c>
      <c r="L33" t="s">
        <v>138</v>
      </c>
      <c r="M33" t="s">
        <v>22</v>
      </c>
      <c r="N33" t="s">
        <v>121</v>
      </c>
      <c r="O33" t="s">
        <v>139</v>
      </c>
      <c r="P33" t="s">
        <v>25</v>
      </c>
      <c r="Q33">
        <v>29</v>
      </c>
    </row>
    <row r="34" spans="1:17">
      <c r="A34">
        <v>32</v>
      </c>
      <c r="B34" t="s">
        <v>41</v>
      </c>
      <c r="C34" t="s">
        <v>140</v>
      </c>
      <c r="D34" t="str">
        <f>"陳威廷"</f>
        <v>0</v>
      </c>
      <c r="E34" t="s">
        <v>19</v>
      </c>
      <c r="F34" t="s">
        <v>141</v>
      </c>
      <c r="G34">
        <v>2009</v>
      </c>
      <c r="H34">
        <v>12</v>
      </c>
      <c r="I34">
        <v>20</v>
      </c>
      <c r="J34" t="str">
        <f>"0985-042608"</f>
        <v>0</v>
      </c>
      <c r="K34" t="str">
        <f>"0985042608"</f>
        <v>0</v>
      </c>
      <c r="L34" t="s">
        <v>142</v>
      </c>
      <c r="M34" t="s">
        <v>22</v>
      </c>
      <c r="N34" t="s">
        <v>121</v>
      </c>
      <c r="O34" t="s">
        <v>143</v>
      </c>
      <c r="P34" t="s">
        <v>25</v>
      </c>
      <c r="Q34">
        <v>29</v>
      </c>
    </row>
    <row r="35" spans="1:17">
      <c r="A35">
        <v>33</v>
      </c>
      <c r="B35" t="s">
        <v>41</v>
      </c>
      <c r="C35" t="s">
        <v>144</v>
      </c>
      <c r="D35" t="str">
        <f>"張淑美"</f>
        <v>0</v>
      </c>
      <c r="E35" t="s">
        <v>34</v>
      </c>
      <c r="F35" t="s">
        <v>145</v>
      </c>
      <c r="G35">
        <v>1954</v>
      </c>
      <c r="H35">
        <v>10</v>
      </c>
      <c r="I35">
        <v>10</v>
      </c>
      <c r="J35" t="str">
        <f>"0985-130628"</f>
        <v>0</v>
      </c>
      <c r="K35" t="str">
        <f>"0985130628"</f>
        <v>0</v>
      </c>
      <c r="L35" t="s">
        <v>146</v>
      </c>
      <c r="M35" t="s">
        <v>22</v>
      </c>
      <c r="N35" t="s">
        <v>121</v>
      </c>
      <c r="O35" t="s">
        <v>147</v>
      </c>
      <c r="P35" t="s">
        <v>25</v>
      </c>
      <c r="Q35">
        <v>29</v>
      </c>
    </row>
    <row r="36" spans="1:17">
      <c r="A36">
        <v>34</v>
      </c>
      <c r="B36" t="s">
        <v>48</v>
      </c>
      <c r="C36" t="s">
        <v>148</v>
      </c>
      <c r="D36" t="str">
        <f>"張譯仁"</f>
        <v>0</v>
      </c>
      <c r="E36" t="s">
        <v>19</v>
      </c>
      <c r="F36" t="s">
        <v>149</v>
      </c>
      <c r="G36">
        <v>1987</v>
      </c>
      <c r="H36">
        <v>3</v>
      </c>
      <c r="I36">
        <v>11</v>
      </c>
      <c r="J36" t="str">
        <f>"04-8224327"</f>
        <v>0</v>
      </c>
      <c r="K36" t="str">
        <f>"0978085698"</f>
        <v>0</v>
      </c>
      <c r="L36" t="s">
        <v>150</v>
      </c>
      <c r="M36" t="s">
        <v>151</v>
      </c>
      <c r="N36" t="s">
        <v>152</v>
      </c>
      <c r="O36" t="s">
        <v>153</v>
      </c>
      <c r="P36" t="s">
        <v>25</v>
      </c>
      <c r="Q36">
        <v>29</v>
      </c>
    </row>
    <row r="37" spans="1:17">
      <c r="A37">
        <v>35</v>
      </c>
      <c r="B37" t="s">
        <v>17</v>
      </c>
      <c r="C37" t="s">
        <v>154</v>
      </c>
      <c r="D37" t="str">
        <f>"莊鳳郡"</f>
        <v>0</v>
      </c>
      <c r="E37" t="s">
        <v>34</v>
      </c>
      <c r="F37" t="s">
        <v>56</v>
      </c>
      <c r="G37">
        <v>1974</v>
      </c>
      <c r="H37">
        <v>3</v>
      </c>
      <c r="I37">
        <v>14</v>
      </c>
      <c r="J37" t="str">
        <f>"0929-650060"</f>
        <v>0</v>
      </c>
      <c r="K37" t="str">
        <f>"0929650060"</f>
        <v>0</v>
      </c>
      <c r="L37" t="s">
        <v>57</v>
      </c>
      <c r="M37" t="s">
        <v>37</v>
      </c>
      <c r="N37" t="s">
        <v>58</v>
      </c>
      <c r="O37" t="s">
        <v>59</v>
      </c>
      <c r="P37" t="s">
        <v>40</v>
      </c>
      <c r="Q37">
        <v>29</v>
      </c>
    </row>
    <row r="38" spans="1:17">
      <c r="A38">
        <v>36</v>
      </c>
      <c r="B38" t="s">
        <v>155</v>
      </c>
      <c r="C38" t="s">
        <v>156</v>
      </c>
      <c r="D38" t="str">
        <f>"張耕榕"</f>
        <v>0</v>
      </c>
      <c r="E38" t="s">
        <v>19</v>
      </c>
      <c r="F38" t="s">
        <v>157</v>
      </c>
      <c r="G38">
        <v>1979</v>
      </c>
      <c r="H38">
        <v>7</v>
      </c>
      <c r="I38">
        <v>14</v>
      </c>
      <c r="J38" t="str">
        <f>"02-26593638"</f>
        <v>0</v>
      </c>
      <c r="K38" t="str">
        <f>"0916800408"</f>
        <v>0</v>
      </c>
      <c r="L38" t="s">
        <v>158</v>
      </c>
      <c r="M38" t="s">
        <v>63</v>
      </c>
      <c r="N38" t="s">
        <v>159</v>
      </c>
      <c r="O38" t="s">
        <v>160</v>
      </c>
      <c r="P38" t="s">
        <v>25</v>
      </c>
      <c r="Q38">
        <v>59</v>
      </c>
    </row>
    <row r="39" spans="1:17">
      <c r="A39">
        <v>37</v>
      </c>
      <c r="B39" t="s">
        <v>48</v>
      </c>
      <c r="C39" t="s">
        <v>161</v>
      </c>
      <c r="D39" t="str">
        <f>"林玉山"</f>
        <v>0</v>
      </c>
      <c r="E39" t="s">
        <v>19</v>
      </c>
      <c r="F39" t="s">
        <v>162</v>
      </c>
      <c r="G39">
        <v>1971</v>
      </c>
      <c r="H39">
        <v>12</v>
      </c>
      <c r="I39">
        <v>15</v>
      </c>
      <c r="J39" t="str">
        <f>"02-82524542"</f>
        <v>0</v>
      </c>
      <c r="K39" t="str">
        <f>"0933823188"</f>
        <v>0</v>
      </c>
      <c r="L39" t="s">
        <v>163</v>
      </c>
      <c r="M39" t="s">
        <v>29</v>
      </c>
      <c r="N39" t="s">
        <v>164</v>
      </c>
      <c r="O39" t="s">
        <v>165</v>
      </c>
      <c r="P39" t="s">
        <v>40</v>
      </c>
      <c r="Q39">
        <v>29</v>
      </c>
    </row>
    <row r="40" spans="1:17">
      <c r="A40">
        <v>38</v>
      </c>
      <c r="B40" t="s">
        <v>48</v>
      </c>
      <c r="C40" t="s">
        <v>166</v>
      </c>
      <c r="D40" t="str">
        <f>"林玉山"</f>
        <v>0</v>
      </c>
      <c r="E40" t="s">
        <v>19</v>
      </c>
      <c r="F40" t="s">
        <v>162</v>
      </c>
      <c r="G40">
        <v>1971</v>
      </c>
      <c r="H40">
        <v>12</v>
      </c>
      <c r="I40">
        <v>15</v>
      </c>
      <c r="J40" t="str">
        <f>"02-82524542"</f>
        <v>0</v>
      </c>
      <c r="K40" t="str">
        <f>"0933823188"</f>
        <v>0</v>
      </c>
      <c r="L40" t="s">
        <v>163</v>
      </c>
      <c r="M40" t="s">
        <v>29</v>
      </c>
      <c r="N40" t="s">
        <v>164</v>
      </c>
      <c r="O40" t="s">
        <v>165</v>
      </c>
      <c r="P40" t="s">
        <v>40</v>
      </c>
      <c r="Q40">
        <v>29</v>
      </c>
    </row>
    <row r="41" spans="1:17">
      <c r="A41">
        <v>39</v>
      </c>
      <c r="B41" t="s">
        <v>32</v>
      </c>
      <c r="C41" t="s">
        <v>167</v>
      </c>
      <c r="D41" t="str">
        <f>"陳雅秋"</f>
        <v>0</v>
      </c>
      <c r="E41" t="s">
        <v>34</v>
      </c>
      <c r="F41" t="s">
        <v>168</v>
      </c>
      <c r="G41">
        <v>1973</v>
      </c>
      <c r="H41">
        <v>7</v>
      </c>
      <c r="I41">
        <v>30</v>
      </c>
      <c r="J41" t="str">
        <f>"02-82524542"</f>
        <v>0</v>
      </c>
      <c r="K41" t="str">
        <f>"0921755740"</f>
        <v>0</v>
      </c>
      <c r="L41" t="s">
        <v>169</v>
      </c>
      <c r="M41" t="s">
        <v>29</v>
      </c>
      <c r="N41" t="s">
        <v>164</v>
      </c>
      <c r="O41" t="s">
        <v>165</v>
      </c>
      <c r="P41" t="s">
        <v>40</v>
      </c>
      <c r="Q41">
        <v>29</v>
      </c>
    </row>
    <row r="42" spans="1:17">
      <c r="A42">
        <v>40</v>
      </c>
      <c r="B42" t="s">
        <v>48</v>
      </c>
      <c r="C42" t="s">
        <v>170</v>
      </c>
      <c r="D42" t="str">
        <f>"高詩敏"</f>
        <v>0</v>
      </c>
      <c r="E42" t="s">
        <v>34</v>
      </c>
      <c r="F42" t="s">
        <v>171</v>
      </c>
      <c r="G42">
        <v>1978</v>
      </c>
      <c r="H42">
        <v>11</v>
      </c>
      <c r="I42">
        <v>16</v>
      </c>
      <c r="J42" t="str">
        <f>"02-27956325"</f>
        <v>0</v>
      </c>
      <c r="K42" t="str">
        <f>"0921071523"</f>
        <v>0</v>
      </c>
      <c r="L42" t="s">
        <v>172</v>
      </c>
      <c r="M42" t="s">
        <v>63</v>
      </c>
      <c r="N42" t="s">
        <v>173</v>
      </c>
      <c r="O42" t="s">
        <v>174</v>
      </c>
      <c r="P42" t="s">
        <v>25</v>
      </c>
      <c r="Q42">
        <v>58</v>
      </c>
    </row>
    <row r="43" spans="1:17">
      <c r="A43">
        <v>41</v>
      </c>
      <c r="B43" t="s">
        <v>17</v>
      </c>
      <c r="C43" t="s">
        <v>175</v>
      </c>
      <c r="D43" t="str">
        <f>"吳雅雯"</f>
        <v>0</v>
      </c>
      <c r="E43" t="s">
        <v>34</v>
      </c>
      <c r="F43" t="s">
        <v>35</v>
      </c>
      <c r="G43">
        <v>1980</v>
      </c>
      <c r="H43">
        <v>1</v>
      </c>
      <c r="I43">
        <v>1</v>
      </c>
      <c r="J43" t="str">
        <f>"07-3531012"</f>
        <v>0</v>
      </c>
      <c r="K43" t="str">
        <f>"0958775137"</f>
        <v>0</v>
      </c>
      <c r="L43" t="s">
        <v>36</v>
      </c>
      <c r="M43" t="s">
        <v>37</v>
      </c>
      <c r="N43" t="s">
        <v>38</v>
      </c>
      <c r="O43" t="s">
        <v>39</v>
      </c>
      <c r="P43" t="s">
        <v>40</v>
      </c>
      <c r="Q43">
        <v>29</v>
      </c>
    </row>
    <row r="44" spans="1:17">
      <c r="A44">
        <v>42</v>
      </c>
      <c r="B44" t="s">
        <v>32</v>
      </c>
      <c r="C44" t="s">
        <v>176</v>
      </c>
      <c r="D44" t="str">
        <f>"李崇安"</f>
        <v>0</v>
      </c>
      <c r="E44" t="s">
        <v>19</v>
      </c>
      <c r="F44" t="s">
        <v>177</v>
      </c>
      <c r="G44">
        <v>1969</v>
      </c>
      <c r="H44">
        <v>2</v>
      </c>
      <c r="I44">
        <v>5</v>
      </c>
      <c r="J44" t="str">
        <f>"04-24391010"</f>
        <v>0</v>
      </c>
      <c r="K44" t="str">
        <f>"0933999727"</f>
        <v>0</v>
      </c>
      <c r="L44" t="s">
        <v>178</v>
      </c>
      <c r="M44" t="s">
        <v>22</v>
      </c>
      <c r="N44" t="s">
        <v>179</v>
      </c>
      <c r="O44" t="s">
        <v>180</v>
      </c>
      <c r="P44" t="s">
        <v>40</v>
      </c>
      <c r="Q44">
        <v>29</v>
      </c>
    </row>
    <row r="45" spans="1:17">
      <c r="A45">
        <v>43</v>
      </c>
      <c r="B45" t="s">
        <v>48</v>
      </c>
      <c r="C45" t="s">
        <v>181</v>
      </c>
      <c r="D45" t="str">
        <f>"何宇婕"</f>
        <v>0</v>
      </c>
      <c r="E45" t="s">
        <v>34</v>
      </c>
      <c r="F45" t="s">
        <v>182</v>
      </c>
      <c r="G45">
        <v>2003</v>
      </c>
      <c r="H45">
        <v>9</v>
      </c>
      <c r="I45">
        <v>22</v>
      </c>
      <c r="J45" t="str">
        <f>"07-6819536"</f>
        <v>0</v>
      </c>
      <c r="K45" t="str">
        <f>"0925383456"</f>
        <v>0</v>
      </c>
      <c r="L45" t="s">
        <v>183</v>
      </c>
      <c r="M45" t="s">
        <v>37</v>
      </c>
      <c r="N45" t="s">
        <v>184</v>
      </c>
      <c r="O45" t="s">
        <v>185</v>
      </c>
      <c r="P45" t="s">
        <v>91</v>
      </c>
      <c r="Q45">
        <v>29</v>
      </c>
    </row>
    <row r="46" spans="1:17">
      <c r="A46">
        <v>44</v>
      </c>
      <c r="B46" t="s">
        <v>48</v>
      </c>
      <c r="C46" t="s">
        <v>186</v>
      </c>
      <c r="D46" t="str">
        <f>"何宇婕"</f>
        <v>0</v>
      </c>
      <c r="E46" t="s">
        <v>34</v>
      </c>
      <c r="F46" t="s">
        <v>182</v>
      </c>
      <c r="G46">
        <v>2003</v>
      </c>
      <c r="H46">
        <v>9</v>
      </c>
      <c r="I46">
        <v>22</v>
      </c>
      <c r="J46" t="str">
        <f>"07-6819536"</f>
        <v>0</v>
      </c>
      <c r="K46" t="str">
        <f>"0925383456"</f>
        <v>0</v>
      </c>
      <c r="L46" t="s">
        <v>183</v>
      </c>
      <c r="M46" t="s">
        <v>37</v>
      </c>
      <c r="N46" t="s">
        <v>184</v>
      </c>
      <c r="O46" t="s">
        <v>185</v>
      </c>
      <c r="P46" t="s">
        <v>91</v>
      </c>
      <c r="Q46">
        <v>29</v>
      </c>
    </row>
    <row r="47" spans="1:17">
      <c r="A47">
        <v>45</v>
      </c>
      <c r="B47" t="s">
        <v>48</v>
      </c>
      <c r="C47" t="s">
        <v>187</v>
      </c>
      <c r="D47" t="str">
        <f>"何錦昇"</f>
        <v>0</v>
      </c>
      <c r="E47" t="s">
        <v>19</v>
      </c>
      <c r="F47" t="s">
        <v>188</v>
      </c>
      <c r="G47">
        <v>1978</v>
      </c>
      <c r="H47">
        <v>2</v>
      </c>
      <c r="I47">
        <v>15</v>
      </c>
      <c r="J47" t="str">
        <f>"07-7278280"</f>
        <v>0</v>
      </c>
      <c r="K47" t="str">
        <f>"0925373456"</f>
        <v>0</v>
      </c>
      <c r="L47" t="s">
        <v>189</v>
      </c>
      <c r="M47" t="s">
        <v>37</v>
      </c>
      <c r="N47" t="s">
        <v>190</v>
      </c>
      <c r="O47" t="s">
        <v>191</v>
      </c>
      <c r="P47" t="s">
        <v>91</v>
      </c>
      <c r="Q47">
        <v>29</v>
      </c>
    </row>
    <row r="48" spans="1:17">
      <c r="A48">
        <v>46</v>
      </c>
      <c r="B48" t="s">
        <v>48</v>
      </c>
      <c r="C48" t="s">
        <v>192</v>
      </c>
      <c r="D48" t="str">
        <f>"何宇婕"</f>
        <v>0</v>
      </c>
      <c r="E48" t="s">
        <v>34</v>
      </c>
      <c r="F48" t="s">
        <v>182</v>
      </c>
      <c r="G48">
        <v>2003</v>
      </c>
      <c r="H48">
        <v>9</v>
      </c>
      <c r="I48">
        <v>22</v>
      </c>
      <c r="J48" t="str">
        <f>"07-6819536"</f>
        <v>0</v>
      </c>
      <c r="K48" t="str">
        <f>"0925383456"</f>
        <v>0</v>
      </c>
      <c r="L48" t="s">
        <v>183</v>
      </c>
      <c r="M48" t="s">
        <v>37</v>
      </c>
      <c r="N48" t="s">
        <v>184</v>
      </c>
      <c r="O48" t="s">
        <v>185</v>
      </c>
      <c r="P48" t="s">
        <v>91</v>
      </c>
      <c r="Q48">
        <v>29</v>
      </c>
    </row>
    <row r="49" spans="1:17">
      <c r="A49">
        <v>47</v>
      </c>
      <c r="B49" t="s">
        <v>193</v>
      </c>
      <c r="C49" t="s">
        <v>194</v>
      </c>
      <c r="D49" t="str">
        <f>"莊婷"</f>
        <v>0</v>
      </c>
      <c r="E49" t="s">
        <v>34</v>
      </c>
      <c r="F49" t="s">
        <v>195</v>
      </c>
      <c r="G49">
        <v>1993</v>
      </c>
      <c r="H49">
        <v>9</v>
      </c>
      <c r="I49">
        <v>18</v>
      </c>
      <c r="J49" t="str">
        <f>"03-4723808"</f>
        <v>0</v>
      </c>
      <c r="K49" t="str">
        <f>"0972923100"</f>
        <v>0</v>
      </c>
      <c r="L49" t="s">
        <v>196</v>
      </c>
      <c r="M49" t="s">
        <v>72</v>
      </c>
      <c r="N49" t="s">
        <v>197</v>
      </c>
      <c r="O49" t="s">
        <v>198</v>
      </c>
      <c r="P49" t="s">
        <v>25</v>
      </c>
      <c r="Q49">
        <v>69</v>
      </c>
    </row>
    <row r="50" spans="1:17">
      <c r="A50">
        <v>48</v>
      </c>
      <c r="B50" t="s">
        <v>199</v>
      </c>
      <c r="C50" t="s">
        <v>200</v>
      </c>
      <c r="D50" t="str">
        <f>"賴宜治"</f>
        <v>0</v>
      </c>
      <c r="E50" t="s">
        <v>34</v>
      </c>
      <c r="F50" t="s">
        <v>201</v>
      </c>
      <c r="G50">
        <v>1988</v>
      </c>
      <c r="H50">
        <v>12</v>
      </c>
      <c r="I50">
        <v>21</v>
      </c>
      <c r="J50" t="str">
        <f>"04-24822296"</f>
        <v>0</v>
      </c>
      <c r="K50" t="str">
        <f>"0989255452"</f>
        <v>0</v>
      </c>
      <c r="L50" t="s">
        <v>202</v>
      </c>
      <c r="M50" t="s">
        <v>22</v>
      </c>
      <c r="N50" t="s">
        <v>203</v>
      </c>
      <c r="O50" t="s">
        <v>204</v>
      </c>
      <c r="P50" t="s">
        <v>205</v>
      </c>
      <c r="Q50">
        <v>29</v>
      </c>
    </row>
    <row r="51" spans="1:17">
      <c r="A51">
        <v>49</v>
      </c>
      <c r="B51" t="s">
        <v>48</v>
      </c>
      <c r="C51" t="s">
        <v>206</v>
      </c>
      <c r="D51" t="str">
        <f>"高詩敏"</f>
        <v>0</v>
      </c>
      <c r="E51" t="s">
        <v>34</v>
      </c>
      <c r="F51" t="s">
        <v>171</v>
      </c>
      <c r="G51">
        <v>1978</v>
      </c>
      <c r="H51">
        <v>11</v>
      </c>
      <c r="I51">
        <v>16</v>
      </c>
      <c r="J51" t="str">
        <f>"02-27956325"</f>
        <v>0</v>
      </c>
      <c r="K51" t="str">
        <f>"0921071523"</f>
        <v>0</v>
      </c>
      <c r="L51" t="s">
        <v>172</v>
      </c>
      <c r="M51" t="s">
        <v>63</v>
      </c>
      <c r="N51" t="s">
        <v>173</v>
      </c>
      <c r="O51" t="s">
        <v>174</v>
      </c>
      <c r="P51" t="s">
        <v>25</v>
      </c>
      <c r="Q51">
        <v>58</v>
      </c>
    </row>
    <row r="52" spans="1:17">
      <c r="A52">
        <v>50</v>
      </c>
      <c r="B52" t="s">
        <v>48</v>
      </c>
      <c r="C52" t="s">
        <v>207</v>
      </c>
      <c r="D52" t="str">
        <f>"高詩敏"</f>
        <v>0</v>
      </c>
      <c r="E52" t="s">
        <v>34</v>
      </c>
      <c r="F52" t="s">
        <v>171</v>
      </c>
      <c r="G52">
        <v>1978</v>
      </c>
      <c r="H52">
        <v>11</v>
      </c>
      <c r="I52">
        <v>16</v>
      </c>
      <c r="J52" t="str">
        <f>"02-27956325"</f>
        <v>0</v>
      </c>
      <c r="K52" t="str">
        <f>"0921071523"</f>
        <v>0</v>
      </c>
      <c r="L52" t="s">
        <v>172</v>
      </c>
      <c r="M52" t="s">
        <v>63</v>
      </c>
      <c r="N52" t="s">
        <v>173</v>
      </c>
      <c r="O52" t="s">
        <v>174</v>
      </c>
      <c r="P52" t="s">
        <v>25</v>
      </c>
      <c r="Q52">
        <v>58</v>
      </c>
    </row>
    <row r="53" spans="1:17">
      <c r="A53">
        <v>51</v>
      </c>
      <c r="B53" t="s">
        <v>48</v>
      </c>
      <c r="C53" t="s">
        <v>208</v>
      </c>
      <c r="D53" t="str">
        <f>"高詩敏"</f>
        <v>0</v>
      </c>
      <c r="E53" t="s">
        <v>34</v>
      </c>
      <c r="F53" t="s">
        <v>171</v>
      </c>
      <c r="G53">
        <v>1978</v>
      </c>
      <c r="H53">
        <v>11</v>
      </c>
      <c r="I53">
        <v>16</v>
      </c>
      <c r="J53" t="str">
        <f>"02-27956325"</f>
        <v>0</v>
      </c>
      <c r="K53" t="str">
        <f>"0921071523"</f>
        <v>0</v>
      </c>
      <c r="L53" t="s">
        <v>172</v>
      </c>
      <c r="M53" t="s">
        <v>63</v>
      </c>
      <c r="N53" t="s">
        <v>173</v>
      </c>
      <c r="O53" t="s">
        <v>174</v>
      </c>
      <c r="P53" t="s">
        <v>25</v>
      </c>
      <c r="Q53">
        <v>58</v>
      </c>
    </row>
    <row r="54" spans="1:17">
      <c r="A54">
        <v>52</v>
      </c>
      <c r="B54" t="s">
        <v>48</v>
      </c>
      <c r="C54" t="s">
        <v>209</v>
      </c>
      <c r="D54" t="str">
        <f>"高詩敏"</f>
        <v>0</v>
      </c>
      <c r="E54" t="s">
        <v>34</v>
      </c>
      <c r="F54" t="s">
        <v>171</v>
      </c>
      <c r="G54">
        <v>1978</v>
      </c>
      <c r="H54">
        <v>11</v>
      </c>
      <c r="I54">
        <v>16</v>
      </c>
      <c r="J54" t="str">
        <f>"02-27956325"</f>
        <v>0</v>
      </c>
      <c r="K54" t="str">
        <f>"0921071523"</f>
        <v>0</v>
      </c>
      <c r="L54" t="s">
        <v>172</v>
      </c>
      <c r="M54" t="s">
        <v>63</v>
      </c>
      <c r="N54" t="s">
        <v>173</v>
      </c>
      <c r="O54" t="s">
        <v>174</v>
      </c>
      <c r="P54" t="s">
        <v>25</v>
      </c>
      <c r="Q54">
        <v>58</v>
      </c>
    </row>
    <row r="55" spans="1:17">
      <c r="A55">
        <v>53</v>
      </c>
      <c r="B55" t="s">
        <v>32</v>
      </c>
      <c r="C55" t="s">
        <v>210</v>
      </c>
      <c r="D55" t="str">
        <f>"吳雅雯"</f>
        <v>0</v>
      </c>
      <c r="E55" t="s">
        <v>34</v>
      </c>
      <c r="F55" t="s">
        <v>35</v>
      </c>
      <c r="G55">
        <v>1980</v>
      </c>
      <c r="H55">
        <v>1</v>
      </c>
      <c r="I55">
        <v>1</v>
      </c>
      <c r="J55" t="str">
        <f>"07-3531012"</f>
        <v>0</v>
      </c>
      <c r="K55" t="str">
        <f>"0958775137"</f>
        <v>0</v>
      </c>
      <c r="L55" t="s">
        <v>36</v>
      </c>
      <c r="M55" t="s">
        <v>37</v>
      </c>
      <c r="N55" t="s">
        <v>38</v>
      </c>
      <c r="O55" t="s">
        <v>39</v>
      </c>
      <c r="P55" t="s">
        <v>40</v>
      </c>
      <c r="Q55">
        <v>29</v>
      </c>
    </row>
    <row r="56" spans="1:17">
      <c r="A56">
        <v>54</v>
      </c>
      <c r="B56" t="s">
        <v>48</v>
      </c>
      <c r="C56" t="s">
        <v>211</v>
      </c>
      <c r="D56" t="str">
        <f>"吳雅雯"</f>
        <v>0</v>
      </c>
      <c r="E56" t="s">
        <v>34</v>
      </c>
      <c r="F56" t="s">
        <v>35</v>
      </c>
      <c r="G56">
        <v>1980</v>
      </c>
      <c r="H56">
        <v>1</v>
      </c>
      <c r="I56">
        <v>1</v>
      </c>
      <c r="J56" t="str">
        <f>"07-3531012"</f>
        <v>0</v>
      </c>
      <c r="K56" t="str">
        <f>"0958775137"</f>
        <v>0</v>
      </c>
      <c r="L56" t="s">
        <v>212</v>
      </c>
      <c r="M56" t="s">
        <v>37</v>
      </c>
      <c r="N56" t="s">
        <v>38</v>
      </c>
      <c r="O56" t="s">
        <v>39</v>
      </c>
      <c r="P56" t="s">
        <v>40</v>
      </c>
      <c r="Q56">
        <v>29</v>
      </c>
    </row>
    <row r="57" spans="1:17">
      <c r="A57">
        <v>55</v>
      </c>
      <c r="B57" t="s">
        <v>48</v>
      </c>
      <c r="C57" t="s">
        <v>213</v>
      </c>
      <c r="D57" t="str">
        <f>"李瑋宸"</f>
        <v>0</v>
      </c>
      <c r="E57" t="s">
        <v>34</v>
      </c>
      <c r="F57" t="s">
        <v>214</v>
      </c>
      <c r="G57">
        <v>1987</v>
      </c>
      <c r="H57">
        <v>5</v>
      </c>
      <c r="I57">
        <v>21</v>
      </c>
      <c r="J57" t="str">
        <f>"049-2602360"</f>
        <v>0</v>
      </c>
      <c r="K57" t="str">
        <f>"0972378521"</f>
        <v>0</v>
      </c>
      <c r="L57" t="s">
        <v>215</v>
      </c>
      <c r="M57" t="s">
        <v>216</v>
      </c>
      <c r="N57" t="s">
        <v>217</v>
      </c>
      <c r="O57" t="s">
        <v>218</v>
      </c>
      <c r="P57" t="s">
        <v>25</v>
      </c>
      <c r="Q57">
        <v>29</v>
      </c>
    </row>
    <row r="58" spans="1:17">
      <c r="A58">
        <v>56</v>
      </c>
      <c r="B58" t="s">
        <v>48</v>
      </c>
      <c r="C58" t="s">
        <v>219</v>
      </c>
      <c r="D58" t="str">
        <f>"李岱諭"</f>
        <v>0</v>
      </c>
      <c r="E58" t="s">
        <v>34</v>
      </c>
      <c r="F58" t="s">
        <v>220</v>
      </c>
      <c r="G58">
        <v>2005</v>
      </c>
      <c r="H58">
        <v>9</v>
      </c>
      <c r="I58">
        <v>18</v>
      </c>
      <c r="J58" t="str">
        <f>"04-24391010"</f>
        <v>0</v>
      </c>
      <c r="K58" t="str">
        <f>"0928989982"</f>
        <v>0</v>
      </c>
      <c r="L58" t="s">
        <v>221</v>
      </c>
      <c r="M58" t="s">
        <v>22</v>
      </c>
      <c r="N58" t="s">
        <v>179</v>
      </c>
      <c r="O58" t="s">
        <v>222</v>
      </c>
      <c r="P58" t="s">
        <v>40</v>
      </c>
      <c r="Q58">
        <v>29</v>
      </c>
    </row>
    <row r="59" spans="1:17">
      <c r="A59">
        <v>57</v>
      </c>
      <c r="B59" t="s">
        <v>48</v>
      </c>
      <c r="C59" t="s">
        <v>223</v>
      </c>
      <c r="D59" t="str">
        <f>"蔡語涵"</f>
        <v>0</v>
      </c>
      <c r="E59" t="s">
        <v>34</v>
      </c>
      <c r="F59" t="s">
        <v>224</v>
      </c>
      <c r="G59">
        <v>1984</v>
      </c>
      <c r="H59">
        <v>9</v>
      </c>
      <c r="I59">
        <v>11</v>
      </c>
      <c r="J59" t="str">
        <f>"04-26578312"</f>
        <v>0</v>
      </c>
      <c r="K59" t="str">
        <f>"0912509858"</f>
        <v>0</v>
      </c>
      <c r="L59" t="s">
        <v>225</v>
      </c>
      <c r="M59" t="s">
        <v>22</v>
      </c>
      <c r="N59" t="s">
        <v>226</v>
      </c>
      <c r="O59" t="s">
        <v>227</v>
      </c>
      <c r="P59" t="s">
        <v>25</v>
      </c>
      <c r="Q59">
        <v>29</v>
      </c>
    </row>
    <row r="60" spans="1:17">
      <c r="A60">
        <v>58</v>
      </c>
      <c r="B60" t="s">
        <v>228</v>
      </c>
      <c r="C60" t="s">
        <v>229</v>
      </c>
      <c r="D60" t="str">
        <f>"冀緹縈"</f>
        <v>0</v>
      </c>
      <c r="E60" t="s">
        <v>34</v>
      </c>
      <c r="F60" t="s">
        <v>230</v>
      </c>
      <c r="G60">
        <v>1966</v>
      </c>
      <c r="H60">
        <v>2</v>
      </c>
      <c r="I60">
        <v>19</v>
      </c>
      <c r="J60" t="str">
        <f>"02-29874965"</f>
        <v>0</v>
      </c>
      <c r="K60" t="str">
        <f>"0920212732"</f>
        <v>0</v>
      </c>
      <c r="L60" t="s">
        <v>231</v>
      </c>
      <c r="M60" t="s">
        <v>29</v>
      </c>
      <c r="N60" t="s">
        <v>232</v>
      </c>
      <c r="O60" t="s">
        <v>233</v>
      </c>
      <c r="P60" t="s">
        <v>234</v>
      </c>
      <c r="Q60">
        <v>68</v>
      </c>
    </row>
    <row r="61" spans="1:17">
      <c r="A61">
        <v>59</v>
      </c>
      <c r="B61" t="s">
        <v>155</v>
      </c>
      <c r="C61" t="s">
        <v>235</v>
      </c>
      <c r="D61" t="str">
        <f>"蕭佳蕙"</f>
        <v>0</v>
      </c>
      <c r="E61" t="s">
        <v>34</v>
      </c>
      <c r="F61" t="s">
        <v>236</v>
      </c>
      <c r="G61">
        <v>1986</v>
      </c>
      <c r="H61">
        <v>12</v>
      </c>
      <c r="I61">
        <v>7</v>
      </c>
      <c r="J61" t="str">
        <f>"04-22019899"</f>
        <v>0</v>
      </c>
      <c r="K61" t="str">
        <f>"0918633389"</f>
        <v>0</v>
      </c>
      <c r="L61" t="s">
        <v>237</v>
      </c>
      <c r="M61" t="s">
        <v>22</v>
      </c>
      <c r="N61" t="s">
        <v>238</v>
      </c>
      <c r="O61" t="s">
        <v>239</v>
      </c>
      <c r="P61" t="s">
        <v>25</v>
      </c>
      <c r="Q61">
        <v>65</v>
      </c>
    </row>
    <row r="62" spans="1:17">
      <c r="A62">
        <v>60</v>
      </c>
      <c r="B62" t="s">
        <v>199</v>
      </c>
      <c r="C62" t="s">
        <v>240</v>
      </c>
      <c r="D62" t="str">
        <f>"李龍泰"</f>
        <v>0</v>
      </c>
      <c r="E62" t="s">
        <v>19</v>
      </c>
      <c r="F62" t="s">
        <v>241</v>
      </c>
      <c r="G62">
        <v>1976</v>
      </c>
      <c r="H62">
        <v>3</v>
      </c>
      <c r="I62">
        <v>12</v>
      </c>
      <c r="J62" t="str">
        <f>"02-82828343"</f>
        <v>0</v>
      </c>
      <c r="K62" t="str">
        <f>"0920915663"</f>
        <v>0</v>
      </c>
      <c r="L62" t="s">
        <v>242</v>
      </c>
      <c r="M62" t="s">
        <v>29</v>
      </c>
      <c r="N62" t="s">
        <v>243</v>
      </c>
      <c r="O62" t="s">
        <v>244</v>
      </c>
      <c r="P62" t="s">
        <v>205</v>
      </c>
      <c r="Q62">
        <v>69</v>
      </c>
    </row>
    <row r="63" spans="1:17">
      <c r="A63">
        <v>61</v>
      </c>
      <c r="B63" t="s">
        <v>245</v>
      </c>
      <c r="C63" t="s">
        <v>246</v>
      </c>
      <c r="D63" t="str">
        <f>"吳雅雯"</f>
        <v>0</v>
      </c>
      <c r="E63" t="s">
        <v>34</v>
      </c>
      <c r="F63" t="s">
        <v>35</v>
      </c>
      <c r="G63">
        <v>1980</v>
      </c>
      <c r="H63">
        <v>1</v>
      </c>
      <c r="I63">
        <v>1</v>
      </c>
      <c r="J63" t="str">
        <f>"07-3531012"</f>
        <v>0</v>
      </c>
      <c r="K63" t="str">
        <f>"0958775137"</f>
        <v>0</v>
      </c>
      <c r="L63" t="s">
        <v>36</v>
      </c>
      <c r="M63" t="s">
        <v>37</v>
      </c>
      <c r="N63" t="s">
        <v>38</v>
      </c>
      <c r="O63" t="s">
        <v>39</v>
      </c>
      <c r="P63" t="s">
        <v>40</v>
      </c>
      <c r="Q63">
        <v>29</v>
      </c>
    </row>
    <row r="64" spans="1:17">
      <c r="A64">
        <v>62</v>
      </c>
      <c r="B64" t="s">
        <v>41</v>
      </c>
      <c r="C64" t="s">
        <v>247</v>
      </c>
      <c r="D64" t="str">
        <f>"洪敬峯"</f>
        <v>0</v>
      </c>
      <c r="E64" t="s">
        <v>19</v>
      </c>
      <c r="F64" t="s">
        <v>248</v>
      </c>
      <c r="G64">
        <v>1988</v>
      </c>
      <c r="H64">
        <v>9</v>
      </c>
      <c r="I64">
        <v>15</v>
      </c>
      <c r="J64" t="str">
        <f>"04-8968104"</f>
        <v>0</v>
      </c>
      <c r="K64" t="str">
        <f>"0972358921"</f>
        <v>0</v>
      </c>
      <c r="L64" t="s">
        <v>249</v>
      </c>
      <c r="M64" t="s">
        <v>151</v>
      </c>
      <c r="N64" t="s">
        <v>250</v>
      </c>
      <c r="O64" t="s">
        <v>251</v>
      </c>
      <c r="P64" t="s">
        <v>40</v>
      </c>
      <c r="Q64">
        <v>29</v>
      </c>
    </row>
    <row r="65" spans="1:17">
      <c r="A65">
        <v>63</v>
      </c>
      <c r="B65" t="s">
        <v>245</v>
      </c>
      <c r="C65" t="s">
        <v>252</v>
      </c>
      <c r="D65" t="str">
        <f>"林沂美"</f>
        <v>0</v>
      </c>
      <c r="E65" t="s">
        <v>34</v>
      </c>
      <c r="F65" t="s">
        <v>253</v>
      </c>
      <c r="G65">
        <v>2013</v>
      </c>
      <c r="H65">
        <v>7</v>
      </c>
      <c r="I65">
        <v>26</v>
      </c>
      <c r="J65" t="str">
        <f>"02-25069903"</f>
        <v>0</v>
      </c>
      <c r="K65" t="str">
        <f>"0936198061"</f>
        <v>0</v>
      </c>
      <c r="L65" t="s">
        <v>254</v>
      </c>
      <c r="M65" t="s">
        <v>63</v>
      </c>
      <c r="N65" t="s">
        <v>255</v>
      </c>
      <c r="O65" t="s">
        <v>256</v>
      </c>
      <c r="P65" t="s">
        <v>25</v>
      </c>
      <c r="Q65">
        <v>29</v>
      </c>
    </row>
    <row r="66" spans="1:17">
      <c r="A66">
        <v>64</v>
      </c>
      <c r="B66" t="s">
        <v>32</v>
      </c>
      <c r="C66" t="s">
        <v>257</v>
      </c>
      <c r="D66" t="str">
        <f>"蕭筱珊"</f>
        <v>0</v>
      </c>
      <c r="E66" t="s">
        <v>34</v>
      </c>
      <c r="F66" t="s">
        <v>258</v>
      </c>
      <c r="G66">
        <v>1980</v>
      </c>
      <c r="H66">
        <v>6</v>
      </c>
      <c r="I66">
        <v>15</v>
      </c>
      <c r="J66" t="str">
        <f>"07-5219273"</f>
        <v>0</v>
      </c>
      <c r="K66" t="str">
        <f>"0986930615"</f>
        <v>0</v>
      </c>
      <c r="L66" t="s">
        <v>259</v>
      </c>
      <c r="M66" t="s">
        <v>37</v>
      </c>
      <c r="N66" t="s">
        <v>45</v>
      </c>
      <c r="O66" t="s">
        <v>260</v>
      </c>
      <c r="P66" t="s">
        <v>25</v>
      </c>
      <c r="Q66">
        <v>29</v>
      </c>
    </row>
    <row r="67" spans="1:17">
      <c r="A67">
        <v>65</v>
      </c>
      <c r="B67" t="s">
        <v>32</v>
      </c>
      <c r="C67" t="s">
        <v>261</v>
      </c>
      <c r="D67" t="str">
        <f>"朱芳德"</f>
        <v>0</v>
      </c>
      <c r="E67" t="s">
        <v>19</v>
      </c>
      <c r="F67" t="s">
        <v>262</v>
      </c>
      <c r="G67">
        <v>1981</v>
      </c>
      <c r="H67">
        <v>9</v>
      </c>
      <c r="I67">
        <v>27</v>
      </c>
      <c r="J67" t="str">
        <f>"0973-810927"</f>
        <v>0</v>
      </c>
      <c r="K67" t="str">
        <f>"0973810927"</f>
        <v>0</v>
      </c>
      <c r="L67" t="s">
        <v>263</v>
      </c>
      <c r="M67" t="s">
        <v>37</v>
      </c>
      <c r="N67" t="s">
        <v>45</v>
      </c>
      <c r="O67" t="s">
        <v>264</v>
      </c>
      <c r="P67" t="s">
        <v>25</v>
      </c>
      <c r="Q67">
        <v>29</v>
      </c>
    </row>
    <row r="68" spans="1:17">
      <c r="A68">
        <v>66</v>
      </c>
      <c r="B68" t="s">
        <v>17</v>
      </c>
      <c r="C68" t="s">
        <v>265</v>
      </c>
      <c r="D68" t="str">
        <f>"黃禮金"</f>
        <v>0</v>
      </c>
      <c r="E68" t="s">
        <v>19</v>
      </c>
      <c r="F68" t="s">
        <v>266</v>
      </c>
      <c r="G68">
        <v>1983</v>
      </c>
      <c r="H68">
        <v>8</v>
      </c>
      <c r="I68">
        <v>30</v>
      </c>
      <c r="J68" t="str">
        <f>"03-4736664"</f>
        <v>0</v>
      </c>
      <c r="K68" t="str">
        <f>"0975658221"</f>
        <v>0</v>
      </c>
      <c r="L68" t="s">
        <v>267</v>
      </c>
      <c r="M68" t="s">
        <v>72</v>
      </c>
      <c r="N68" t="s">
        <v>268</v>
      </c>
      <c r="O68" t="s">
        <v>269</v>
      </c>
      <c r="P68" t="s">
        <v>25</v>
      </c>
      <c r="Q68">
        <v>29</v>
      </c>
    </row>
    <row r="69" spans="1:17">
      <c r="A69">
        <v>67</v>
      </c>
      <c r="B69" t="s">
        <v>228</v>
      </c>
      <c r="C69" t="s">
        <v>270</v>
      </c>
      <c r="D69" t="str">
        <f>"陳漢仁"</f>
        <v>0</v>
      </c>
      <c r="E69" t="s">
        <v>19</v>
      </c>
      <c r="F69" t="s">
        <v>271</v>
      </c>
      <c r="G69">
        <v>1974</v>
      </c>
      <c r="H69">
        <v>4</v>
      </c>
      <c r="I69">
        <v>29</v>
      </c>
      <c r="J69" t="str">
        <f>"02-29712130"</f>
        <v>0</v>
      </c>
      <c r="K69" t="str">
        <f>"0986120968"</f>
        <v>0</v>
      </c>
      <c r="L69" t="s">
        <v>272</v>
      </c>
      <c r="M69" t="s">
        <v>29</v>
      </c>
      <c r="N69" t="s">
        <v>232</v>
      </c>
      <c r="O69" t="s">
        <v>273</v>
      </c>
      <c r="P69" t="s">
        <v>25</v>
      </c>
      <c r="Q69">
        <v>68</v>
      </c>
    </row>
    <row r="70" spans="1:17">
      <c r="A70">
        <v>68</v>
      </c>
      <c r="B70" t="s">
        <v>48</v>
      </c>
      <c r="C70" t="s">
        <v>274</v>
      </c>
      <c r="D70" t="str">
        <f>"林佑純"</f>
        <v>0</v>
      </c>
      <c r="E70" t="s">
        <v>34</v>
      </c>
      <c r="F70" t="s">
        <v>275</v>
      </c>
      <c r="G70">
        <v>1988</v>
      </c>
      <c r="H70">
        <v>5</v>
      </c>
      <c r="I70">
        <v>9</v>
      </c>
      <c r="J70" t="str">
        <f>"05-2778967"</f>
        <v>0</v>
      </c>
      <c r="K70" t="str">
        <f>"0955859933"</f>
        <v>0</v>
      </c>
      <c r="L70" t="s">
        <v>276</v>
      </c>
      <c r="M70" t="s">
        <v>277</v>
      </c>
      <c r="N70" t="s">
        <v>277</v>
      </c>
      <c r="O70" t="s">
        <v>278</v>
      </c>
      <c r="P70" t="s">
        <v>25</v>
      </c>
      <c r="Q70">
        <v>29</v>
      </c>
    </row>
    <row r="71" spans="1:17">
      <c r="A71">
        <v>69</v>
      </c>
      <c r="B71" t="s">
        <v>48</v>
      </c>
      <c r="C71" t="s">
        <v>279</v>
      </c>
      <c r="D71" t="str">
        <f>"施妙慧"</f>
        <v>0</v>
      </c>
      <c r="E71" t="s">
        <v>34</v>
      </c>
      <c r="F71" t="s">
        <v>280</v>
      </c>
      <c r="G71">
        <v>1968</v>
      </c>
      <c r="H71">
        <v>12</v>
      </c>
      <c r="I71">
        <v>13</v>
      </c>
      <c r="J71" t="str">
        <f>"02-29552765"</f>
        <v>0</v>
      </c>
      <c r="K71" t="str">
        <f>"0916558136"</f>
        <v>0</v>
      </c>
      <c r="L71" t="s">
        <v>281</v>
      </c>
      <c r="M71" t="s">
        <v>29</v>
      </c>
      <c r="N71" t="s">
        <v>164</v>
      </c>
      <c r="O71" t="s">
        <v>282</v>
      </c>
      <c r="P71" t="s">
        <v>25</v>
      </c>
      <c r="Q71">
        <v>29</v>
      </c>
    </row>
    <row r="72" spans="1:17">
      <c r="A72">
        <v>70</v>
      </c>
      <c r="B72" t="s">
        <v>48</v>
      </c>
      <c r="C72" t="s">
        <v>283</v>
      </c>
      <c r="D72" t="str">
        <f>"盧芊卉"</f>
        <v>0</v>
      </c>
      <c r="E72" t="s">
        <v>34</v>
      </c>
      <c r="F72" t="s">
        <v>284</v>
      </c>
      <c r="G72">
        <v>2000</v>
      </c>
      <c r="H72">
        <v>10</v>
      </c>
      <c r="I72">
        <v>3</v>
      </c>
      <c r="J72" t="str">
        <f>"02-82528869"</f>
        <v>0</v>
      </c>
      <c r="K72" t="str">
        <f>"0930037086"</f>
        <v>0</v>
      </c>
      <c r="L72" t="s">
        <v>285</v>
      </c>
      <c r="M72" t="s">
        <v>29</v>
      </c>
      <c r="N72" t="s">
        <v>164</v>
      </c>
      <c r="O72" t="s">
        <v>286</v>
      </c>
      <c r="P72" t="s">
        <v>40</v>
      </c>
      <c r="Q72">
        <v>29</v>
      </c>
    </row>
    <row r="73" spans="1:17">
      <c r="A73">
        <v>71</v>
      </c>
      <c r="B73" t="s">
        <v>48</v>
      </c>
      <c r="C73" t="s">
        <v>287</v>
      </c>
      <c r="D73" t="str">
        <f>"盧首志"</f>
        <v>0</v>
      </c>
      <c r="E73" t="s">
        <v>19</v>
      </c>
      <c r="F73" t="s">
        <v>288</v>
      </c>
      <c r="G73">
        <v>2002</v>
      </c>
      <c r="H73">
        <v>3</v>
      </c>
      <c r="I73">
        <v>21</v>
      </c>
      <c r="J73" t="str">
        <f>"02-29179820"</f>
        <v>0</v>
      </c>
      <c r="K73" t="str">
        <f>"0981808820"</f>
        <v>0</v>
      </c>
      <c r="L73" t="s">
        <v>289</v>
      </c>
      <c r="M73" t="s">
        <v>29</v>
      </c>
      <c r="N73" t="s">
        <v>164</v>
      </c>
      <c r="O73" t="s">
        <v>286</v>
      </c>
      <c r="P73" t="s">
        <v>40</v>
      </c>
      <c r="Q73">
        <v>29</v>
      </c>
    </row>
    <row r="74" spans="1:17">
      <c r="A74">
        <v>72</v>
      </c>
      <c r="B74" t="s">
        <v>48</v>
      </c>
      <c r="C74" t="s">
        <v>290</v>
      </c>
      <c r="D74" t="str">
        <f>"王純榜"</f>
        <v>0</v>
      </c>
      <c r="E74" t="s">
        <v>19</v>
      </c>
      <c r="F74" t="s">
        <v>291</v>
      </c>
      <c r="G74">
        <v>1972</v>
      </c>
      <c r="H74">
        <v>8</v>
      </c>
      <c r="I74">
        <v>23</v>
      </c>
      <c r="J74" t="str">
        <f>"09-58823988"</f>
        <v>0</v>
      </c>
      <c r="K74" t="str">
        <f>"0958823988"</f>
        <v>0</v>
      </c>
      <c r="L74" t="s">
        <v>292</v>
      </c>
      <c r="M74" t="s">
        <v>151</v>
      </c>
      <c r="N74" t="s">
        <v>293</v>
      </c>
      <c r="O74" t="s">
        <v>294</v>
      </c>
      <c r="P74" t="s">
        <v>295</v>
      </c>
      <c r="Q74">
        <v>29</v>
      </c>
    </row>
    <row r="75" spans="1:17">
      <c r="A75">
        <v>73</v>
      </c>
      <c r="B75" t="s">
        <v>17</v>
      </c>
      <c r="C75" t="s">
        <v>296</v>
      </c>
      <c r="D75" t="str">
        <f>"黃迪謙"</f>
        <v>0</v>
      </c>
      <c r="E75" t="s">
        <v>19</v>
      </c>
      <c r="F75" t="s">
        <v>297</v>
      </c>
      <c r="G75">
        <v>1970</v>
      </c>
      <c r="H75">
        <v>8</v>
      </c>
      <c r="I75">
        <v>24</v>
      </c>
      <c r="J75" t="str">
        <f>"02-26922747"</f>
        <v>0</v>
      </c>
      <c r="K75" t="str">
        <f>"0933570167"</f>
        <v>0</v>
      </c>
      <c r="L75" t="s">
        <v>298</v>
      </c>
      <c r="M75" t="s">
        <v>29</v>
      </c>
      <c r="N75" t="s">
        <v>299</v>
      </c>
      <c r="O75" t="s">
        <v>300</v>
      </c>
      <c r="P75" t="s">
        <v>25</v>
      </c>
      <c r="Q75">
        <v>29</v>
      </c>
    </row>
    <row r="76" spans="1:17">
      <c r="A76">
        <v>74</v>
      </c>
      <c r="B76" t="s">
        <v>155</v>
      </c>
      <c r="C76" t="s">
        <v>301</v>
      </c>
      <c r="D76" t="str">
        <f>"楊雅欣"</f>
        <v>0</v>
      </c>
      <c r="E76" t="s">
        <v>34</v>
      </c>
      <c r="F76" t="s">
        <v>302</v>
      </c>
      <c r="G76">
        <v>1998</v>
      </c>
      <c r="H76">
        <v>12</v>
      </c>
      <c r="I76">
        <v>9</v>
      </c>
      <c r="J76" t="str">
        <f>"049-2652622"</f>
        <v>0</v>
      </c>
      <c r="K76" t="str">
        <f>"0977087062"</f>
        <v>0</v>
      </c>
      <c r="L76" t="s">
        <v>303</v>
      </c>
      <c r="M76" t="s">
        <v>37</v>
      </c>
      <c r="N76" t="s">
        <v>304</v>
      </c>
      <c r="O76" t="s">
        <v>305</v>
      </c>
      <c r="P76" t="s">
        <v>306</v>
      </c>
      <c r="Q76">
        <v>130</v>
      </c>
    </row>
    <row r="77" spans="1:17">
      <c r="A77">
        <v>75</v>
      </c>
      <c r="B77" t="s">
        <v>48</v>
      </c>
      <c r="C77" t="s">
        <v>307</v>
      </c>
      <c r="D77" t="str">
        <f>"林漢倫"</f>
        <v>0</v>
      </c>
      <c r="E77" t="s">
        <v>19</v>
      </c>
      <c r="F77" t="s">
        <v>308</v>
      </c>
      <c r="G77">
        <v>1974</v>
      </c>
      <c r="H77">
        <v>4</v>
      </c>
      <c r="I77">
        <v>26</v>
      </c>
      <c r="J77" t="str">
        <f>"04-72333375"</f>
        <v>0</v>
      </c>
      <c r="K77" t="str">
        <f>"0935080216"</f>
        <v>0</v>
      </c>
      <c r="L77" t="s">
        <v>309</v>
      </c>
      <c r="M77" t="s">
        <v>151</v>
      </c>
      <c r="N77" t="s">
        <v>293</v>
      </c>
      <c r="O77" t="s">
        <v>310</v>
      </c>
      <c r="P77" t="s">
        <v>25</v>
      </c>
      <c r="Q77">
        <v>29</v>
      </c>
    </row>
    <row r="78" spans="1:17">
      <c r="A78">
        <v>76</v>
      </c>
      <c r="B78" t="s">
        <v>48</v>
      </c>
      <c r="C78" t="s">
        <v>311</v>
      </c>
      <c r="D78" t="str">
        <f>"林偉靖"</f>
        <v>0</v>
      </c>
      <c r="E78" t="s">
        <v>19</v>
      </c>
      <c r="F78" t="s">
        <v>312</v>
      </c>
      <c r="G78">
        <v>1991</v>
      </c>
      <c r="H78">
        <v>11</v>
      </c>
      <c r="I78">
        <v>25</v>
      </c>
      <c r="J78" t="str">
        <f>"02-27351600"</f>
        <v>0</v>
      </c>
      <c r="K78" t="str">
        <f>"0983295006"</f>
        <v>0</v>
      </c>
      <c r="L78" t="s">
        <v>313</v>
      </c>
      <c r="M78" t="s">
        <v>63</v>
      </c>
      <c r="N78" t="s">
        <v>314</v>
      </c>
      <c r="O78" t="s">
        <v>315</v>
      </c>
      <c r="P78" t="s">
        <v>316</v>
      </c>
      <c r="Q78">
        <v>29</v>
      </c>
    </row>
    <row r="79" spans="1:17">
      <c r="A79">
        <v>77</v>
      </c>
      <c r="B79" t="s">
        <v>199</v>
      </c>
      <c r="C79" t="s">
        <v>317</v>
      </c>
      <c r="D79" t="str">
        <f>"梁永龍"</f>
        <v>0</v>
      </c>
      <c r="E79" t="s">
        <v>19</v>
      </c>
      <c r="F79" t="s">
        <v>318</v>
      </c>
      <c r="G79">
        <v>1975</v>
      </c>
      <c r="H79">
        <v>8</v>
      </c>
      <c r="I79">
        <v>25</v>
      </c>
      <c r="J79" t="str">
        <f>"07-3643936"</f>
        <v>0</v>
      </c>
      <c r="K79" t="str">
        <f>"0922639807"</f>
        <v>0</v>
      </c>
      <c r="L79" t="s">
        <v>319</v>
      </c>
      <c r="M79" t="s">
        <v>37</v>
      </c>
      <c r="N79" t="s">
        <v>320</v>
      </c>
      <c r="O79" t="s">
        <v>321</v>
      </c>
      <c r="P79" t="s">
        <v>25</v>
      </c>
      <c r="Q79">
        <v>69</v>
      </c>
    </row>
    <row r="80" spans="1:17">
      <c r="A80">
        <v>78</v>
      </c>
      <c r="B80" t="s">
        <v>322</v>
      </c>
      <c r="C80" t="s">
        <v>323</v>
      </c>
      <c r="D80" t="str">
        <f>"林廷曄"</f>
        <v>0</v>
      </c>
      <c r="E80" t="s">
        <v>34</v>
      </c>
      <c r="F80" t="s">
        <v>324</v>
      </c>
      <c r="G80">
        <v>1993</v>
      </c>
      <c r="H80">
        <v>10</v>
      </c>
      <c r="I80">
        <v>8</v>
      </c>
      <c r="J80" t="str">
        <f>"04-23351535"</f>
        <v>0</v>
      </c>
      <c r="K80" t="str">
        <f>"0988875139"</f>
        <v>0</v>
      </c>
      <c r="L80" t="s">
        <v>325</v>
      </c>
      <c r="M80" t="s">
        <v>22</v>
      </c>
      <c r="N80" t="s">
        <v>326</v>
      </c>
      <c r="O80" t="s">
        <v>327</v>
      </c>
      <c r="P80" t="s">
        <v>25</v>
      </c>
      <c r="Q80">
        <v>79</v>
      </c>
    </row>
    <row r="81" spans="1:17">
      <c r="A81">
        <v>79</v>
      </c>
      <c r="B81" t="s">
        <v>48</v>
      </c>
      <c r="C81" t="s">
        <v>328</v>
      </c>
      <c r="D81" t="str">
        <f>"樊馨瑋"</f>
        <v>0</v>
      </c>
      <c r="E81" t="s">
        <v>34</v>
      </c>
      <c r="F81" t="s">
        <v>329</v>
      </c>
      <c r="G81">
        <v>2001</v>
      </c>
      <c r="H81">
        <v>10</v>
      </c>
      <c r="I81">
        <v>13</v>
      </c>
      <c r="J81" t="str">
        <f>"03-4522558"</f>
        <v>0</v>
      </c>
      <c r="K81" t="str">
        <f>"0955551791"</f>
        <v>0</v>
      </c>
      <c r="L81" t="s">
        <v>330</v>
      </c>
      <c r="M81" t="s">
        <v>72</v>
      </c>
      <c r="N81" t="s">
        <v>331</v>
      </c>
      <c r="O81" t="s">
        <v>332</v>
      </c>
      <c r="P81" t="s">
        <v>205</v>
      </c>
      <c r="Q81">
        <v>29</v>
      </c>
    </row>
    <row r="82" spans="1:17">
      <c r="A82">
        <v>80</v>
      </c>
      <c r="B82" t="s">
        <v>48</v>
      </c>
      <c r="C82" t="s">
        <v>333</v>
      </c>
      <c r="D82" t="str">
        <f>"王敏"</f>
        <v>0</v>
      </c>
      <c r="E82" t="s">
        <v>34</v>
      </c>
      <c r="F82" t="s">
        <v>334</v>
      </c>
      <c r="G82">
        <v>1995</v>
      </c>
      <c r="H82">
        <v>4</v>
      </c>
      <c r="I82">
        <v>6</v>
      </c>
      <c r="J82" t="str">
        <f>"03-8267581"</f>
        <v>0</v>
      </c>
      <c r="K82" t="str">
        <f>"0980763764"</f>
        <v>0</v>
      </c>
      <c r="L82" t="s">
        <v>335</v>
      </c>
      <c r="M82" t="s">
        <v>336</v>
      </c>
      <c r="N82" t="s">
        <v>337</v>
      </c>
      <c r="O82" t="s">
        <v>338</v>
      </c>
      <c r="P82" t="s">
        <v>339</v>
      </c>
      <c r="Q82">
        <v>29</v>
      </c>
    </row>
    <row r="83" spans="1:17">
      <c r="A83">
        <v>81</v>
      </c>
      <c r="B83" t="s">
        <v>48</v>
      </c>
      <c r="C83" t="s">
        <v>340</v>
      </c>
      <c r="D83" t="str">
        <f>"李欣怡"</f>
        <v>0</v>
      </c>
      <c r="E83" t="s">
        <v>34</v>
      </c>
      <c r="F83" t="s">
        <v>341</v>
      </c>
      <c r="G83">
        <v>1980</v>
      </c>
      <c r="H83">
        <v>8</v>
      </c>
      <c r="I83">
        <v>17</v>
      </c>
      <c r="J83" t="str">
        <f>"02-29763135"</f>
        <v>0</v>
      </c>
      <c r="K83" t="str">
        <f>"0917665817"</f>
        <v>0</v>
      </c>
      <c r="L83" t="s">
        <v>342</v>
      </c>
      <c r="M83" t="s">
        <v>29</v>
      </c>
      <c r="N83" t="s">
        <v>232</v>
      </c>
      <c r="O83" t="s">
        <v>343</v>
      </c>
      <c r="P83" t="s">
        <v>205</v>
      </c>
      <c r="Q83">
        <v>29</v>
      </c>
    </row>
    <row r="84" spans="1:17">
      <c r="A84">
        <v>82</v>
      </c>
      <c r="B84" t="s">
        <v>17</v>
      </c>
      <c r="C84" t="s">
        <v>344</v>
      </c>
      <c r="D84" t="str">
        <f>"李秀玲"</f>
        <v>0</v>
      </c>
      <c r="E84" t="s">
        <v>34</v>
      </c>
      <c r="F84" t="s">
        <v>345</v>
      </c>
      <c r="G84">
        <v>1985</v>
      </c>
      <c r="H84">
        <v>1</v>
      </c>
      <c r="I84">
        <v>13</v>
      </c>
      <c r="J84" t="str">
        <f>"02-29763135"</f>
        <v>0</v>
      </c>
      <c r="K84" t="str">
        <f>"0926202237"</f>
        <v>0</v>
      </c>
      <c r="L84" t="s">
        <v>346</v>
      </c>
      <c r="M84" t="s">
        <v>29</v>
      </c>
      <c r="N84" t="s">
        <v>232</v>
      </c>
      <c r="O84" t="s">
        <v>343</v>
      </c>
      <c r="P84" t="s">
        <v>205</v>
      </c>
      <c r="Q84">
        <v>29</v>
      </c>
    </row>
    <row r="85" spans="1:17">
      <c r="A85">
        <v>83</v>
      </c>
      <c r="B85" t="s">
        <v>199</v>
      </c>
      <c r="C85" t="s">
        <v>347</v>
      </c>
      <c r="D85" t="str">
        <f>"康淑惠"</f>
        <v>0</v>
      </c>
      <c r="E85" t="s">
        <v>34</v>
      </c>
      <c r="F85" t="s">
        <v>348</v>
      </c>
      <c r="G85">
        <v>1977</v>
      </c>
      <c r="H85">
        <v>1</v>
      </c>
      <c r="I85">
        <v>18</v>
      </c>
      <c r="J85" t="str">
        <f>"02-28715356"</f>
        <v>0</v>
      </c>
      <c r="K85" t="str">
        <f>"0926669506"</f>
        <v>0</v>
      </c>
      <c r="L85" t="s">
        <v>349</v>
      </c>
      <c r="M85" t="s">
        <v>63</v>
      </c>
      <c r="N85" t="s">
        <v>350</v>
      </c>
      <c r="O85" t="s">
        <v>351</v>
      </c>
      <c r="P85" t="s">
        <v>25</v>
      </c>
      <c r="Q85">
        <v>129</v>
      </c>
    </row>
    <row r="86" spans="1:17">
      <c r="A86">
        <v>84</v>
      </c>
      <c r="B86" t="s">
        <v>48</v>
      </c>
      <c r="C86" t="s">
        <v>352</v>
      </c>
      <c r="D86" t="str">
        <f>"吳斯雲"</f>
        <v>0</v>
      </c>
      <c r="E86" t="s">
        <v>34</v>
      </c>
      <c r="F86" t="s">
        <v>353</v>
      </c>
      <c r="G86">
        <v>1980</v>
      </c>
      <c r="H86">
        <v>6</v>
      </c>
      <c r="I86">
        <v>8</v>
      </c>
      <c r="J86" t="str">
        <f>"0960-535391"</f>
        <v>0</v>
      </c>
      <c r="K86" t="str">
        <f>"0960535391"</f>
        <v>0</v>
      </c>
      <c r="L86" t="s">
        <v>354</v>
      </c>
      <c r="M86" t="s">
        <v>22</v>
      </c>
      <c r="N86" t="s">
        <v>226</v>
      </c>
      <c r="O86" t="s">
        <v>355</v>
      </c>
      <c r="P86" t="s">
        <v>25</v>
      </c>
      <c r="Q86">
        <v>29</v>
      </c>
    </row>
    <row r="87" spans="1:17">
      <c r="A87">
        <v>85</v>
      </c>
      <c r="B87" t="s">
        <v>356</v>
      </c>
      <c r="C87" t="s">
        <v>357</v>
      </c>
      <c r="D87" t="str">
        <f>"林玫蓉"</f>
        <v>0</v>
      </c>
      <c r="E87" t="s">
        <v>34</v>
      </c>
      <c r="F87" t="s">
        <v>358</v>
      </c>
      <c r="G87">
        <v>1959</v>
      </c>
      <c r="H87">
        <v>11</v>
      </c>
      <c r="I87">
        <v>2</v>
      </c>
      <c r="J87" t="str">
        <f>"06-2701745"</f>
        <v>0</v>
      </c>
      <c r="K87" t="str">
        <f>"0920757081"</f>
        <v>0</v>
      </c>
      <c r="L87" t="s">
        <v>359</v>
      </c>
      <c r="M87" t="s">
        <v>360</v>
      </c>
      <c r="N87" t="s">
        <v>361</v>
      </c>
      <c r="O87" t="s">
        <v>362</v>
      </c>
      <c r="P87" t="s">
        <v>91</v>
      </c>
      <c r="Q87">
        <v>68</v>
      </c>
    </row>
    <row r="88" spans="1:17">
      <c r="A88">
        <v>86</v>
      </c>
      <c r="B88" t="s">
        <v>199</v>
      </c>
      <c r="C88" t="s">
        <v>363</v>
      </c>
      <c r="D88" t="str">
        <f>"花淑麗"</f>
        <v>0</v>
      </c>
      <c r="E88" t="s">
        <v>34</v>
      </c>
      <c r="F88" t="s">
        <v>364</v>
      </c>
      <c r="G88">
        <v>1976</v>
      </c>
      <c r="H88">
        <v>4</v>
      </c>
      <c r="I88">
        <v>4</v>
      </c>
      <c r="J88" t="str">
        <f>"02-24223030"</f>
        <v>0</v>
      </c>
      <c r="K88" t="str">
        <f>"0963338836"</f>
        <v>0</v>
      </c>
      <c r="L88" t="s">
        <v>365</v>
      </c>
      <c r="M88" t="s">
        <v>366</v>
      </c>
      <c r="N88" t="s">
        <v>367</v>
      </c>
      <c r="O88" t="s">
        <v>368</v>
      </c>
      <c r="P88" t="s">
        <v>205</v>
      </c>
      <c r="Q88">
        <v>69</v>
      </c>
    </row>
    <row r="89" spans="1:17">
      <c r="A89">
        <v>87</v>
      </c>
      <c r="B89" t="s">
        <v>48</v>
      </c>
      <c r="C89" t="s">
        <v>369</v>
      </c>
      <c r="D89" t="str">
        <f>"張正昇"</f>
        <v>0</v>
      </c>
      <c r="E89" t="s">
        <v>19</v>
      </c>
      <c r="F89" t="s">
        <v>370</v>
      </c>
      <c r="G89">
        <v>1985</v>
      </c>
      <c r="H89">
        <v>9</v>
      </c>
      <c r="I89">
        <v>2</v>
      </c>
      <c r="J89" t="str">
        <f>"02-89668034"</f>
        <v>0</v>
      </c>
      <c r="K89" t="str">
        <f>"0937531410"</f>
        <v>0</v>
      </c>
      <c r="L89" t="s">
        <v>371</v>
      </c>
      <c r="M89" t="s">
        <v>29</v>
      </c>
      <c r="N89" t="s">
        <v>164</v>
      </c>
      <c r="O89" t="s">
        <v>372</v>
      </c>
      <c r="P89" t="s">
        <v>25</v>
      </c>
      <c r="Q89">
        <v>29</v>
      </c>
    </row>
    <row r="90" spans="1:17">
      <c r="A90">
        <v>88</v>
      </c>
      <c r="B90" t="s">
        <v>17</v>
      </c>
      <c r="C90" t="s">
        <v>373</v>
      </c>
      <c r="D90" t="str">
        <f>"黃振旗"</f>
        <v>0</v>
      </c>
      <c r="E90" t="s">
        <v>19</v>
      </c>
      <c r="F90" t="s">
        <v>374</v>
      </c>
      <c r="G90">
        <v>1981</v>
      </c>
      <c r="H90">
        <v>11</v>
      </c>
      <c r="I90">
        <v>27</v>
      </c>
      <c r="J90" t="str">
        <f>"03-3803968"</f>
        <v>0</v>
      </c>
      <c r="K90" t="str">
        <f>"0928294760"</f>
        <v>0</v>
      </c>
      <c r="L90" t="s">
        <v>375</v>
      </c>
      <c r="M90" t="s">
        <v>72</v>
      </c>
      <c r="N90" t="s">
        <v>376</v>
      </c>
      <c r="O90" t="s">
        <v>377</v>
      </c>
      <c r="P90" t="s">
        <v>25</v>
      </c>
      <c r="Q90">
        <v>29</v>
      </c>
    </row>
    <row r="91" spans="1:17">
      <c r="A91">
        <v>89</v>
      </c>
      <c r="B91" t="s">
        <v>48</v>
      </c>
      <c r="C91" t="s">
        <v>378</v>
      </c>
      <c r="D91" t="str">
        <f>"孫幸嫻"</f>
        <v>0</v>
      </c>
      <c r="E91" t="s">
        <v>34</v>
      </c>
      <c r="F91" t="s">
        <v>50</v>
      </c>
      <c r="G91">
        <v>1980</v>
      </c>
      <c r="H91">
        <v>3</v>
      </c>
      <c r="I91">
        <v>31</v>
      </c>
      <c r="J91" t="str">
        <f>"02-22679000"</f>
        <v>0</v>
      </c>
      <c r="K91" t="str">
        <f>"0968167257"</f>
        <v>0</v>
      </c>
      <c r="L91" t="s">
        <v>51</v>
      </c>
      <c r="M91" t="s">
        <v>29</v>
      </c>
      <c r="N91" t="s">
        <v>52</v>
      </c>
      <c r="O91" t="s">
        <v>53</v>
      </c>
      <c r="P91" t="s">
        <v>25</v>
      </c>
      <c r="Q91">
        <v>29</v>
      </c>
    </row>
    <row r="92" spans="1:17">
      <c r="A92">
        <v>90</v>
      </c>
      <c r="B92" t="s">
        <v>379</v>
      </c>
      <c r="C92" t="s">
        <v>380</v>
      </c>
      <c r="D92" t="str">
        <f>"謝妤涵"</f>
        <v>0</v>
      </c>
      <c r="E92" t="s">
        <v>34</v>
      </c>
      <c r="F92" t="s">
        <v>381</v>
      </c>
      <c r="G92">
        <v>2000</v>
      </c>
      <c r="H92">
        <v>2</v>
      </c>
      <c r="I92">
        <v>13</v>
      </c>
      <c r="J92" t="str">
        <f>"07-8223568"</f>
        <v>0</v>
      </c>
      <c r="K92" t="str">
        <f>"0939289465"</f>
        <v>0</v>
      </c>
      <c r="L92" t="s">
        <v>382</v>
      </c>
      <c r="M92" t="s">
        <v>37</v>
      </c>
      <c r="N92" t="s">
        <v>184</v>
      </c>
      <c r="O92" t="s">
        <v>383</v>
      </c>
      <c r="P92" t="s">
        <v>91</v>
      </c>
      <c r="Q92">
        <v>27</v>
      </c>
    </row>
    <row r="93" spans="1:17">
      <c r="A93">
        <v>91</v>
      </c>
      <c r="B93" t="s">
        <v>48</v>
      </c>
      <c r="C93" t="s">
        <v>384</v>
      </c>
      <c r="D93" t="str">
        <f>"陳世大"</f>
        <v>0</v>
      </c>
      <c r="E93" t="s">
        <v>19</v>
      </c>
      <c r="F93" t="s">
        <v>385</v>
      </c>
      <c r="G93">
        <v>1980</v>
      </c>
      <c r="H93">
        <v>3</v>
      </c>
      <c r="I93">
        <v>13</v>
      </c>
      <c r="J93" t="str">
        <f>"0926402812"</f>
        <v>0</v>
      </c>
      <c r="K93" t="str">
        <f>"0926402812"</f>
        <v>0</v>
      </c>
      <c r="L93" t="s">
        <v>386</v>
      </c>
      <c r="M93" t="s">
        <v>29</v>
      </c>
      <c r="N93" t="s">
        <v>387</v>
      </c>
      <c r="O93" t="s">
        <v>388</v>
      </c>
      <c r="P93" t="s">
        <v>25</v>
      </c>
      <c r="Q93">
        <v>29</v>
      </c>
    </row>
    <row r="94" spans="1:17">
      <c r="A94">
        <v>92</v>
      </c>
      <c r="B94" t="s">
        <v>48</v>
      </c>
      <c r="C94" t="s">
        <v>389</v>
      </c>
      <c r="D94" t="str">
        <f>"葉曉昀"</f>
        <v>0</v>
      </c>
      <c r="E94" t="s">
        <v>34</v>
      </c>
      <c r="F94" t="s">
        <v>390</v>
      </c>
      <c r="G94">
        <v>1972</v>
      </c>
      <c r="H94">
        <v>9</v>
      </c>
      <c r="I94">
        <v>6</v>
      </c>
      <c r="J94" t="str">
        <f>"05-2654206"</f>
        <v>0</v>
      </c>
      <c r="K94" t="str">
        <f>"0911656371"</f>
        <v>0</v>
      </c>
      <c r="L94" t="s">
        <v>391</v>
      </c>
      <c r="M94" t="s">
        <v>392</v>
      </c>
      <c r="N94" t="s">
        <v>393</v>
      </c>
      <c r="O94" t="s">
        <v>394</v>
      </c>
      <c r="P94" t="s">
        <v>91</v>
      </c>
      <c r="Q94">
        <v>39</v>
      </c>
    </row>
    <row r="95" spans="1:17">
      <c r="A95">
        <v>93</v>
      </c>
      <c r="B95" t="s">
        <v>48</v>
      </c>
      <c r="C95" t="s">
        <v>395</v>
      </c>
      <c r="D95" t="str">
        <f>"王純榜"</f>
        <v>0</v>
      </c>
      <c r="E95" t="s">
        <v>19</v>
      </c>
      <c r="F95" t="s">
        <v>291</v>
      </c>
      <c r="G95">
        <v>1972</v>
      </c>
      <c r="H95">
        <v>8</v>
      </c>
      <c r="I95">
        <v>23</v>
      </c>
      <c r="J95" t="str">
        <f>"09-58823988"</f>
        <v>0</v>
      </c>
      <c r="K95" t="str">
        <f>"0958823988"</f>
        <v>0</v>
      </c>
      <c r="L95" t="s">
        <v>292</v>
      </c>
      <c r="M95" t="s">
        <v>151</v>
      </c>
      <c r="N95" t="s">
        <v>293</v>
      </c>
      <c r="O95" t="s">
        <v>294</v>
      </c>
      <c r="P95" t="s">
        <v>295</v>
      </c>
      <c r="Q95">
        <v>29</v>
      </c>
    </row>
    <row r="96" spans="1:17">
      <c r="A96">
        <v>94</v>
      </c>
      <c r="B96" t="s">
        <v>48</v>
      </c>
      <c r="C96" t="s">
        <v>396</v>
      </c>
      <c r="D96" t="str">
        <f>"周怡靜"</f>
        <v>0</v>
      </c>
      <c r="E96" t="s">
        <v>34</v>
      </c>
      <c r="F96" t="s">
        <v>397</v>
      </c>
      <c r="G96">
        <v>1986</v>
      </c>
      <c r="H96">
        <v>2</v>
      </c>
      <c r="I96">
        <v>9</v>
      </c>
      <c r="J96" t="str">
        <f>"0960-753488"</f>
        <v>0</v>
      </c>
      <c r="K96" t="str">
        <f>"0960753488"</f>
        <v>0</v>
      </c>
      <c r="L96" t="s">
        <v>398</v>
      </c>
      <c r="M96" t="s">
        <v>37</v>
      </c>
      <c r="N96" t="s">
        <v>304</v>
      </c>
      <c r="O96" t="s">
        <v>399</v>
      </c>
      <c r="P96" t="s">
        <v>25</v>
      </c>
      <c r="Q96">
        <v>29</v>
      </c>
    </row>
    <row r="97" spans="1:17">
      <c r="A97">
        <v>95</v>
      </c>
      <c r="B97" t="s">
        <v>48</v>
      </c>
      <c r="C97" t="s">
        <v>400</v>
      </c>
      <c r="D97" t="str">
        <f>"陳俊元"</f>
        <v>0</v>
      </c>
      <c r="E97" t="s">
        <v>19</v>
      </c>
      <c r="F97" t="s">
        <v>401</v>
      </c>
      <c r="G97">
        <v>1981</v>
      </c>
      <c r="H97">
        <v>1</v>
      </c>
      <c r="I97">
        <v>13</v>
      </c>
      <c r="J97" t="str">
        <f>"04-24078597"</f>
        <v>0</v>
      </c>
      <c r="K97" t="str">
        <f>"0931889869"</f>
        <v>0</v>
      </c>
      <c r="L97" t="s">
        <v>402</v>
      </c>
      <c r="M97" t="s">
        <v>22</v>
      </c>
      <c r="N97" t="s">
        <v>203</v>
      </c>
      <c r="O97" t="s">
        <v>403</v>
      </c>
      <c r="P97" t="s">
        <v>40</v>
      </c>
      <c r="Q97">
        <v>29</v>
      </c>
    </row>
    <row r="98" spans="1:17">
      <c r="A98">
        <v>96</v>
      </c>
      <c r="B98" t="s">
        <v>245</v>
      </c>
      <c r="C98" t="s">
        <v>404</v>
      </c>
      <c r="D98" t="str">
        <f>"林佩瑜"</f>
        <v>0</v>
      </c>
      <c r="E98" t="s">
        <v>34</v>
      </c>
      <c r="F98" t="s">
        <v>405</v>
      </c>
      <c r="G98">
        <v>1988</v>
      </c>
      <c r="H98">
        <v>8</v>
      </c>
      <c r="I98">
        <v>14</v>
      </c>
      <c r="J98" t="str">
        <f>"04-23951591"</f>
        <v>0</v>
      </c>
      <c r="K98" t="str">
        <f>"0911128748"</f>
        <v>0</v>
      </c>
      <c r="L98" t="s">
        <v>406</v>
      </c>
      <c r="M98" t="s">
        <v>22</v>
      </c>
      <c r="N98" t="s">
        <v>407</v>
      </c>
      <c r="O98" t="s">
        <v>408</v>
      </c>
      <c r="P98" t="s">
        <v>40</v>
      </c>
      <c r="Q98">
        <v>29</v>
      </c>
    </row>
    <row r="99" spans="1:17">
      <c r="A99">
        <v>97</v>
      </c>
      <c r="B99" t="s">
        <v>41</v>
      </c>
      <c r="C99" t="s">
        <v>409</v>
      </c>
      <c r="D99" t="str">
        <f>" 蔡秋桐"</f>
        <v>0</v>
      </c>
      <c r="E99" t="s">
        <v>19</v>
      </c>
      <c r="F99" t="s">
        <v>410</v>
      </c>
      <c r="G99">
        <v>1974</v>
      </c>
      <c r="H99">
        <v>7</v>
      </c>
      <c r="I99">
        <v>16</v>
      </c>
      <c r="J99" t="str">
        <f>"04-24822296"</f>
        <v>0</v>
      </c>
      <c r="K99" t="str">
        <f>"0989255452"</f>
        <v>0</v>
      </c>
      <c r="L99" t="s">
        <v>202</v>
      </c>
      <c r="M99" t="s">
        <v>22</v>
      </c>
      <c r="N99" t="s">
        <v>203</v>
      </c>
      <c r="O99" t="s">
        <v>204</v>
      </c>
      <c r="P99" t="s">
        <v>205</v>
      </c>
      <c r="Q99">
        <v>29</v>
      </c>
    </row>
    <row r="100" spans="1:17">
      <c r="A100">
        <v>98</v>
      </c>
      <c r="B100" t="s">
        <v>48</v>
      </c>
      <c r="C100" t="s">
        <v>411</v>
      </c>
      <c r="D100" t="str">
        <f>"邱慧珊"</f>
        <v>0</v>
      </c>
      <c r="E100" t="s">
        <v>34</v>
      </c>
      <c r="F100" t="s">
        <v>412</v>
      </c>
      <c r="G100">
        <v>1980</v>
      </c>
      <c r="H100">
        <v>5</v>
      </c>
      <c r="I100">
        <v>3</v>
      </c>
      <c r="J100" t="str">
        <f>"0955-775989"</f>
        <v>0</v>
      </c>
      <c r="K100" t="str">
        <f>"0955775989"</f>
        <v>0</v>
      </c>
      <c r="L100" t="s">
        <v>413</v>
      </c>
      <c r="M100" t="s">
        <v>151</v>
      </c>
      <c r="N100" t="s">
        <v>152</v>
      </c>
      <c r="O100" t="s">
        <v>414</v>
      </c>
      <c r="P100" t="s">
        <v>25</v>
      </c>
      <c r="Q100">
        <v>29</v>
      </c>
    </row>
    <row r="101" spans="1:17">
      <c r="A101">
        <v>99</v>
      </c>
      <c r="B101" t="s">
        <v>41</v>
      </c>
      <c r="C101" t="s">
        <v>415</v>
      </c>
      <c r="D101" t="str">
        <f>"陳嘉湖"</f>
        <v>0</v>
      </c>
      <c r="E101" t="s">
        <v>19</v>
      </c>
      <c r="F101" t="s">
        <v>416</v>
      </c>
      <c r="G101">
        <v>1976</v>
      </c>
      <c r="H101">
        <v>6</v>
      </c>
      <c r="I101">
        <v>13</v>
      </c>
      <c r="J101" t="str">
        <f>"03-3521922"</f>
        <v>0</v>
      </c>
      <c r="K101" t="str">
        <f>"0955153532"</f>
        <v>0</v>
      </c>
      <c r="L101" t="s">
        <v>417</v>
      </c>
      <c r="M101" t="s">
        <v>72</v>
      </c>
      <c r="N101" t="s">
        <v>418</v>
      </c>
      <c r="O101" t="s">
        <v>419</v>
      </c>
      <c r="P101" t="s">
        <v>25</v>
      </c>
      <c r="Q101">
        <v>29</v>
      </c>
    </row>
    <row r="102" spans="1:17">
      <c r="A102">
        <v>100</v>
      </c>
      <c r="B102" t="s">
        <v>199</v>
      </c>
      <c r="C102" t="s">
        <v>420</v>
      </c>
      <c r="D102" t="str">
        <f>"廖富敏"</f>
        <v>0</v>
      </c>
      <c r="E102" t="s">
        <v>34</v>
      </c>
      <c r="F102" t="s">
        <v>421</v>
      </c>
      <c r="G102">
        <v>1985</v>
      </c>
      <c r="H102">
        <v>10</v>
      </c>
      <c r="I102">
        <v>25</v>
      </c>
      <c r="J102" t="str">
        <f>"02-26598168"</f>
        <v>0</v>
      </c>
      <c r="K102" t="str">
        <f>"0912368473"</f>
        <v>0</v>
      </c>
      <c r="L102" t="s">
        <v>422</v>
      </c>
      <c r="M102" t="s">
        <v>29</v>
      </c>
      <c r="N102" t="s">
        <v>423</v>
      </c>
      <c r="O102" t="s">
        <v>424</v>
      </c>
      <c r="P102" t="s">
        <v>295</v>
      </c>
      <c r="Q102">
        <v>69</v>
      </c>
    </row>
    <row r="103" spans="1:17">
      <c r="A103">
        <v>101</v>
      </c>
      <c r="B103" t="s">
        <v>48</v>
      </c>
      <c r="C103" t="s">
        <v>425</v>
      </c>
      <c r="D103" t="str">
        <f>"鄭麗玲"</f>
        <v>0</v>
      </c>
      <c r="E103" t="s">
        <v>34</v>
      </c>
      <c r="F103" t="s">
        <v>426</v>
      </c>
      <c r="G103">
        <v>1966</v>
      </c>
      <c r="H103">
        <v>3</v>
      </c>
      <c r="I103">
        <v>6</v>
      </c>
      <c r="J103" t="str">
        <f>"02-23324797"</f>
        <v>0</v>
      </c>
      <c r="K103" t="str">
        <f>"0938049052"</f>
        <v>0</v>
      </c>
      <c r="L103" t="s">
        <v>427</v>
      </c>
      <c r="M103" t="s">
        <v>63</v>
      </c>
      <c r="N103" t="s">
        <v>428</v>
      </c>
      <c r="O103" t="s">
        <v>429</v>
      </c>
      <c r="P103" t="s">
        <v>91</v>
      </c>
      <c r="Q103">
        <v>29</v>
      </c>
    </row>
    <row r="104" spans="1:17">
      <c r="A104">
        <v>102</v>
      </c>
      <c r="B104" t="s">
        <v>199</v>
      </c>
      <c r="C104" t="s">
        <v>430</v>
      </c>
      <c r="D104" t="str">
        <f>"吳莛枋"</f>
        <v>0</v>
      </c>
      <c r="E104" t="s">
        <v>34</v>
      </c>
      <c r="F104" t="s">
        <v>431</v>
      </c>
      <c r="G104">
        <v>1978</v>
      </c>
      <c r="H104">
        <v>7</v>
      </c>
      <c r="I104">
        <v>9</v>
      </c>
      <c r="J104" t="str">
        <f>"02-22265493"</f>
        <v>0</v>
      </c>
      <c r="K104" t="str">
        <f>"0931114546"</f>
        <v>0</v>
      </c>
      <c r="L104" t="s">
        <v>432</v>
      </c>
      <c r="M104" t="s">
        <v>29</v>
      </c>
      <c r="N104" t="s">
        <v>387</v>
      </c>
      <c r="O104" t="s">
        <v>433</v>
      </c>
      <c r="P104" t="s">
        <v>25</v>
      </c>
      <c r="Q104">
        <v>69</v>
      </c>
    </row>
    <row r="105" spans="1:17">
      <c r="A105">
        <v>103</v>
      </c>
      <c r="B105" t="s">
        <v>379</v>
      </c>
      <c r="C105" t="s">
        <v>434</v>
      </c>
      <c r="D105" t="str">
        <f>"陳仲祐"</f>
        <v>0</v>
      </c>
      <c r="E105" t="s">
        <v>19</v>
      </c>
      <c r="F105" t="s">
        <v>435</v>
      </c>
      <c r="G105">
        <v>1975</v>
      </c>
      <c r="H105">
        <v>4</v>
      </c>
      <c r="I105">
        <v>29</v>
      </c>
      <c r="J105" t="str">
        <f>"07-8223568"</f>
        <v>0</v>
      </c>
      <c r="K105" t="str">
        <f>"0939289465"</f>
        <v>0</v>
      </c>
      <c r="L105" t="s">
        <v>436</v>
      </c>
      <c r="M105" t="s">
        <v>37</v>
      </c>
      <c r="N105" t="s">
        <v>184</v>
      </c>
      <c r="O105" t="s">
        <v>383</v>
      </c>
      <c r="P105" t="s">
        <v>40</v>
      </c>
      <c r="Q105">
        <v>27</v>
      </c>
    </row>
    <row r="106" spans="1:17">
      <c r="A106">
        <v>104</v>
      </c>
      <c r="B106" t="s">
        <v>199</v>
      </c>
      <c r="C106" t="s">
        <v>437</v>
      </c>
      <c r="D106" t="str">
        <f>"吳莉雪"</f>
        <v>0</v>
      </c>
      <c r="E106" t="s">
        <v>34</v>
      </c>
      <c r="F106" t="s">
        <v>438</v>
      </c>
      <c r="G106">
        <v>1978</v>
      </c>
      <c r="H106">
        <v>5</v>
      </c>
      <c r="I106">
        <v>31</v>
      </c>
      <c r="J106" t="str">
        <f>"05-2752873"</f>
        <v>0</v>
      </c>
      <c r="K106" t="str">
        <f>"0918535489"</f>
        <v>0</v>
      </c>
      <c r="L106" t="s">
        <v>439</v>
      </c>
      <c r="M106" t="s">
        <v>277</v>
      </c>
      <c r="N106" t="s">
        <v>277</v>
      </c>
      <c r="O106" t="s">
        <v>440</v>
      </c>
      <c r="P106" t="s">
        <v>25</v>
      </c>
      <c r="Q106">
        <v>129</v>
      </c>
    </row>
    <row r="107" spans="1:17">
      <c r="A107">
        <v>105</v>
      </c>
      <c r="B107" t="s">
        <v>48</v>
      </c>
      <c r="C107" t="s">
        <v>441</v>
      </c>
      <c r="D107" t="str">
        <f>"孫幸嫻"</f>
        <v>0</v>
      </c>
      <c r="E107" t="s">
        <v>34</v>
      </c>
      <c r="F107" t="s">
        <v>50</v>
      </c>
      <c r="G107">
        <v>1980</v>
      </c>
      <c r="H107">
        <v>3</v>
      </c>
      <c r="I107">
        <v>31</v>
      </c>
      <c r="J107" t="str">
        <f>"02-22679000"</f>
        <v>0</v>
      </c>
      <c r="K107" t="str">
        <f>"0968167257"</f>
        <v>0</v>
      </c>
      <c r="L107" t="s">
        <v>51</v>
      </c>
      <c r="M107" t="s">
        <v>29</v>
      </c>
      <c r="N107" t="s">
        <v>52</v>
      </c>
      <c r="O107" t="s">
        <v>53</v>
      </c>
      <c r="P107" t="s">
        <v>25</v>
      </c>
      <c r="Q107">
        <v>29</v>
      </c>
    </row>
    <row r="108" spans="1:17">
      <c r="A108">
        <v>106</v>
      </c>
      <c r="B108" t="s">
        <v>48</v>
      </c>
      <c r="C108" t="s">
        <v>442</v>
      </c>
      <c r="D108" t="str">
        <f>"柯士玉"</f>
        <v>0</v>
      </c>
      <c r="E108" t="s">
        <v>34</v>
      </c>
      <c r="F108" t="s">
        <v>443</v>
      </c>
      <c r="G108">
        <v>1982</v>
      </c>
      <c r="H108">
        <v>7</v>
      </c>
      <c r="I108">
        <v>25</v>
      </c>
      <c r="J108" t="str">
        <f>"0915551167"</f>
        <v>0</v>
      </c>
      <c r="K108" t="str">
        <f>"0915551167"</f>
        <v>0</v>
      </c>
      <c r="L108" t="s">
        <v>444</v>
      </c>
      <c r="M108" t="s">
        <v>29</v>
      </c>
      <c r="N108" t="s">
        <v>387</v>
      </c>
      <c r="O108" t="s">
        <v>388</v>
      </c>
      <c r="P108" t="s">
        <v>25</v>
      </c>
      <c r="Q108">
        <v>29</v>
      </c>
    </row>
    <row r="109" spans="1:17">
      <c r="A109">
        <v>107</v>
      </c>
      <c r="B109" t="s">
        <v>48</v>
      </c>
      <c r="C109" t="s">
        <v>445</v>
      </c>
      <c r="D109" t="str">
        <f>"葉曉昀"</f>
        <v>0</v>
      </c>
      <c r="E109" t="s">
        <v>34</v>
      </c>
      <c r="F109" t="s">
        <v>390</v>
      </c>
      <c r="G109">
        <v>1972</v>
      </c>
      <c r="H109">
        <v>9</v>
      </c>
      <c r="I109">
        <v>6</v>
      </c>
      <c r="J109" t="str">
        <f>"05-2654206"</f>
        <v>0</v>
      </c>
      <c r="K109" t="str">
        <f>"0911656371"</f>
        <v>0</v>
      </c>
      <c r="L109" t="s">
        <v>446</v>
      </c>
      <c r="M109" t="s">
        <v>392</v>
      </c>
      <c r="N109" t="s">
        <v>393</v>
      </c>
      <c r="O109" t="s">
        <v>394</v>
      </c>
      <c r="P109" t="s">
        <v>91</v>
      </c>
      <c r="Q109">
        <v>39</v>
      </c>
    </row>
    <row r="110" spans="1:17">
      <c r="A110">
        <v>108</v>
      </c>
      <c r="B110" t="s">
        <v>48</v>
      </c>
      <c r="C110" t="s">
        <v>447</v>
      </c>
      <c r="D110" t="str">
        <f>"王純榜"</f>
        <v>0</v>
      </c>
      <c r="E110" t="s">
        <v>19</v>
      </c>
      <c r="F110" t="s">
        <v>291</v>
      </c>
      <c r="G110">
        <v>1972</v>
      </c>
      <c r="H110">
        <v>8</v>
      </c>
      <c r="I110">
        <v>23</v>
      </c>
      <c r="J110" t="str">
        <f>"09-58823988"</f>
        <v>0</v>
      </c>
      <c r="K110" t="str">
        <f>"0958823988"</f>
        <v>0</v>
      </c>
      <c r="L110" t="s">
        <v>292</v>
      </c>
      <c r="M110" t="s">
        <v>151</v>
      </c>
      <c r="N110" t="s">
        <v>293</v>
      </c>
      <c r="O110" t="s">
        <v>294</v>
      </c>
      <c r="P110" t="s">
        <v>295</v>
      </c>
      <c r="Q110">
        <v>29</v>
      </c>
    </row>
    <row r="111" spans="1:17">
      <c r="A111">
        <v>109</v>
      </c>
      <c r="B111" t="s">
        <v>17</v>
      </c>
      <c r="C111" t="s">
        <v>448</v>
      </c>
      <c r="D111" t="str">
        <f>"蕭筱珊"</f>
        <v>0</v>
      </c>
      <c r="E111" t="s">
        <v>34</v>
      </c>
      <c r="F111" t="s">
        <v>258</v>
      </c>
      <c r="G111">
        <v>1980</v>
      </c>
      <c r="H111">
        <v>6</v>
      </c>
      <c r="I111">
        <v>15</v>
      </c>
      <c r="J111" t="str">
        <f>"07-5219273"</f>
        <v>0</v>
      </c>
      <c r="K111" t="str">
        <f>"0986930615"</f>
        <v>0</v>
      </c>
      <c r="L111" t="s">
        <v>259</v>
      </c>
      <c r="M111" t="s">
        <v>37</v>
      </c>
      <c r="N111" t="s">
        <v>45</v>
      </c>
      <c r="O111" t="s">
        <v>260</v>
      </c>
      <c r="P111" t="s">
        <v>25</v>
      </c>
      <c r="Q111">
        <v>29</v>
      </c>
    </row>
    <row r="112" spans="1:17">
      <c r="A112">
        <v>110</v>
      </c>
      <c r="B112" t="s">
        <v>48</v>
      </c>
      <c r="C112" t="s">
        <v>449</v>
      </c>
      <c r="D112" t="str">
        <f>"朱芳德"</f>
        <v>0</v>
      </c>
      <c r="E112" t="s">
        <v>19</v>
      </c>
      <c r="F112" t="s">
        <v>262</v>
      </c>
      <c r="G112">
        <v>1981</v>
      </c>
      <c r="H112">
        <v>9</v>
      </c>
      <c r="I112">
        <v>27</v>
      </c>
      <c r="J112" t="str">
        <f>"0973-810927"</f>
        <v>0</v>
      </c>
      <c r="K112" t="str">
        <f>"0973810927"</f>
        <v>0</v>
      </c>
      <c r="L112" t="s">
        <v>263</v>
      </c>
      <c r="M112" t="s">
        <v>37</v>
      </c>
      <c r="N112" t="s">
        <v>45</v>
      </c>
      <c r="O112" t="s">
        <v>264</v>
      </c>
      <c r="P112" t="s">
        <v>25</v>
      </c>
      <c r="Q112">
        <v>28</v>
      </c>
    </row>
    <row r="113" spans="1:17">
      <c r="A113">
        <v>111</v>
      </c>
      <c r="B113" t="s">
        <v>199</v>
      </c>
      <c r="C113" t="s">
        <v>450</v>
      </c>
      <c r="D113" t="str">
        <f>"梁永龍"</f>
        <v>0</v>
      </c>
      <c r="E113" t="s">
        <v>19</v>
      </c>
      <c r="F113" t="s">
        <v>318</v>
      </c>
      <c r="G113">
        <v>1975</v>
      </c>
      <c r="H113">
        <v>8</v>
      </c>
      <c r="I113">
        <v>25</v>
      </c>
      <c r="J113" t="str">
        <f>"07-3643936"</f>
        <v>0</v>
      </c>
      <c r="K113" t="str">
        <f>"0922639807"</f>
        <v>0</v>
      </c>
      <c r="L113" t="s">
        <v>319</v>
      </c>
      <c r="M113" t="s">
        <v>37</v>
      </c>
      <c r="N113" t="s">
        <v>320</v>
      </c>
      <c r="O113" t="s">
        <v>321</v>
      </c>
      <c r="P113" t="s">
        <v>25</v>
      </c>
      <c r="Q113">
        <v>69</v>
      </c>
    </row>
    <row r="114" spans="1:17">
      <c r="A114">
        <v>112</v>
      </c>
      <c r="B114" t="s">
        <v>48</v>
      </c>
      <c r="C114" t="s">
        <v>451</v>
      </c>
      <c r="D114" t="str">
        <f>"吳沛昀"</f>
        <v>0</v>
      </c>
      <c r="E114" t="s">
        <v>34</v>
      </c>
      <c r="F114" t="s">
        <v>452</v>
      </c>
      <c r="G114">
        <v>2004</v>
      </c>
      <c r="H114">
        <v>8</v>
      </c>
      <c r="I114">
        <v>25</v>
      </c>
      <c r="J114" t="str">
        <f>"03-3763272"</f>
        <v>0</v>
      </c>
      <c r="K114" t="str">
        <f>"0975511385"</f>
        <v>0</v>
      </c>
      <c r="L114" t="s">
        <v>453</v>
      </c>
      <c r="M114" t="s">
        <v>72</v>
      </c>
      <c r="N114" t="s">
        <v>84</v>
      </c>
      <c r="O114" t="s">
        <v>454</v>
      </c>
      <c r="P114" t="s">
        <v>25</v>
      </c>
      <c r="Q114">
        <v>29</v>
      </c>
    </row>
    <row r="115" spans="1:17">
      <c r="A115">
        <v>113</v>
      </c>
      <c r="B115" t="s">
        <v>48</v>
      </c>
      <c r="C115" t="s">
        <v>455</v>
      </c>
      <c r="D115" t="str">
        <f>"邱慧珊"</f>
        <v>0</v>
      </c>
      <c r="E115" t="s">
        <v>34</v>
      </c>
      <c r="F115" t="s">
        <v>412</v>
      </c>
      <c r="G115">
        <v>1980</v>
      </c>
      <c r="H115">
        <v>5</v>
      </c>
      <c r="I115">
        <v>3</v>
      </c>
      <c r="J115" t="str">
        <f>"0955-775989"</f>
        <v>0</v>
      </c>
      <c r="K115" t="str">
        <f>"0955775989"</f>
        <v>0</v>
      </c>
      <c r="L115" t="s">
        <v>413</v>
      </c>
      <c r="M115" t="s">
        <v>151</v>
      </c>
      <c r="N115" t="s">
        <v>152</v>
      </c>
      <c r="O115" t="s">
        <v>414</v>
      </c>
      <c r="P115" t="s">
        <v>25</v>
      </c>
      <c r="Q115">
        <v>29</v>
      </c>
    </row>
    <row r="116" spans="1:17">
      <c r="A116">
        <v>114</v>
      </c>
      <c r="B116" t="s">
        <v>48</v>
      </c>
      <c r="C116" t="s">
        <v>456</v>
      </c>
      <c r="D116" t="str">
        <f>"邱慧珊"</f>
        <v>0</v>
      </c>
      <c r="E116" t="s">
        <v>34</v>
      </c>
      <c r="F116" t="s">
        <v>412</v>
      </c>
      <c r="G116">
        <v>1980</v>
      </c>
      <c r="H116">
        <v>5</v>
      </c>
      <c r="I116">
        <v>3</v>
      </c>
      <c r="J116" t="str">
        <f>"0955-775989"</f>
        <v>0</v>
      </c>
      <c r="K116" t="str">
        <f>"0955775989"</f>
        <v>0</v>
      </c>
      <c r="L116" t="s">
        <v>413</v>
      </c>
      <c r="M116" t="s">
        <v>151</v>
      </c>
      <c r="N116" t="s">
        <v>152</v>
      </c>
      <c r="O116" t="s">
        <v>414</v>
      </c>
      <c r="P116" t="s">
        <v>25</v>
      </c>
      <c r="Q116">
        <v>29</v>
      </c>
    </row>
    <row r="117" spans="1:17">
      <c r="A117">
        <v>115</v>
      </c>
      <c r="B117" t="s">
        <v>17</v>
      </c>
      <c r="C117" t="s">
        <v>457</v>
      </c>
      <c r="D117" t="str">
        <f>"張譯仁"</f>
        <v>0</v>
      </c>
      <c r="E117" t="s">
        <v>19</v>
      </c>
      <c r="F117" t="s">
        <v>149</v>
      </c>
      <c r="G117">
        <v>1987</v>
      </c>
      <c r="H117">
        <v>3</v>
      </c>
      <c r="I117">
        <v>11</v>
      </c>
      <c r="J117" t="str">
        <f>"04-8224327"</f>
        <v>0</v>
      </c>
      <c r="K117" t="str">
        <f>"0978085698"</f>
        <v>0</v>
      </c>
      <c r="L117" t="s">
        <v>150</v>
      </c>
      <c r="M117" t="s">
        <v>151</v>
      </c>
      <c r="N117" t="s">
        <v>152</v>
      </c>
      <c r="O117" t="s">
        <v>153</v>
      </c>
      <c r="P117" t="s">
        <v>66</v>
      </c>
      <c r="Q117">
        <v>29</v>
      </c>
    </row>
    <row r="118" spans="1:17">
      <c r="A118">
        <v>116</v>
      </c>
      <c r="B118" t="s">
        <v>48</v>
      </c>
      <c r="C118" t="s">
        <v>458</v>
      </c>
      <c r="D118" t="str">
        <f>"蔡文瑜'"</f>
        <v>0</v>
      </c>
      <c r="E118" t="s">
        <v>34</v>
      </c>
      <c r="F118" t="s">
        <v>459</v>
      </c>
      <c r="G118">
        <v>1971</v>
      </c>
      <c r="H118">
        <v>6</v>
      </c>
      <c r="I118">
        <v>12</v>
      </c>
      <c r="J118" t="str">
        <f>"02-29002566"</f>
        <v>0</v>
      </c>
      <c r="K118" t="str">
        <f>"0952858358"</f>
        <v>0</v>
      </c>
      <c r="L118" t="s">
        <v>460</v>
      </c>
      <c r="M118" t="s">
        <v>29</v>
      </c>
      <c r="N118" t="s">
        <v>461</v>
      </c>
      <c r="O118" t="s">
        <v>462</v>
      </c>
      <c r="P118" t="s">
        <v>25</v>
      </c>
      <c r="Q118">
        <v>29</v>
      </c>
    </row>
    <row r="119" spans="1:17">
      <c r="A119">
        <v>117</v>
      </c>
      <c r="B119" t="s">
        <v>48</v>
      </c>
      <c r="C119" t="s">
        <v>463</v>
      </c>
      <c r="D119" t="str">
        <f>"張富美"</f>
        <v>0</v>
      </c>
      <c r="E119" t="s">
        <v>34</v>
      </c>
      <c r="F119" t="s">
        <v>464</v>
      </c>
      <c r="G119">
        <v>1971</v>
      </c>
      <c r="H119">
        <v>10</v>
      </c>
      <c r="I119">
        <v>23</v>
      </c>
      <c r="J119" t="str">
        <f>"09-81608846"</f>
        <v>0</v>
      </c>
      <c r="K119" t="str">
        <f>"0981608846"</f>
        <v>0</v>
      </c>
      <c r="L119" t="s">
        <v>465</v>
      </c>
      <c r="M119" t="s">
        <v>277</v>
      </c>
      <c r="N119" t="s">
        <v>277</v>
      </c>
      <c r="O119" t="s">
        <v>466</v>
      </c>
      <c r="P119" t="s">
        <v>91</v>
      </c>
      <c r="Q119">
        <v>29</v>
      </c>
    </row>
    <row r="120" spans="1:17">
      <c r="A120">
        <v>118</v>
      </c>
      <c r="B120" t="s">
        <v>32</v>
      </c>
      <c r="C120" t="s">
        <v>467</v>
      </c>
      <c r="D120" t="str">
        <f>"李岱諭"</f>
        <v>0</v>
      </c>
      <c r="E120" t="s">
        <v>34</v>
      </c>
      <c r="F120" t="s">
        <v>220</v>
      </c>
      <c r="G120">
        <v>2005</v>
      </c>
      <c r="H120">
        <v>9</v>
      </c>
      <c r="I120">
        <v>18</v>
      </c>
      <c r="J120" t="str">
        <f>"04-24391010"</f>
        <v>0</v>
      </c>
      <c r="K120" t="str">
        <f>"0928989982"</f>
        <v>0</v>
      </c>
      <c r="L120" t="s">
        <v>178</v>
      </c>
      <c r="M120" t="s">
        <v>22</v>
      </c>
      <c r="N120" t="s">
        <v>179</v>
      </c>
      <c r="O120" t="s">
        <v>222</v>
      </c>
      <c r="P120" t="s">
        <v>40</v>
      </c>
      <c r="Q120">
        <v>29</v>
      </c>
    </row>
    <row r="121" spans="1:17">
      <c r="A121">
        <v>119</v>
      </c>
      <c r="B121" t="s">
        <v>32</v>
      </c>
      <c r="C121" t="s">
        <v>468</v>
      </c>
      <c r="D121" t="str">
        <f>"翁久惠"</f>
        <v>0</v>
      </c>
      <c r="E121" t="s">
        <v>34</v>
      </c>
      <c r="F121" t="s">
        <v>177</v>
      </c>
      <c r="G121">
        <v>1970</v>
      </c>
      <c r="H121">
        <v>8</v>
      </c>
      <c r="I121">
        <v>12</v>
      </c>
      <c r="J121" t="str">
        <f>"04-24391010"</f>
        <v>0</v>
      </c>
      <c r="K121" t="str">
        <f>"0982666241"</f>
        <v>0</v>
      </c>
      <c r="L121" t="s">
        <v>221</v>
      </c>
      <c r="M121" t="s">
        <v>22</v>
      </c>
      <c r="N121" t="s">
        <v>98</v>
      </c>
      <c r="O121" t="s">
        <v>469</v>
      </c>
      <c r="P121" t="s">
        <v>40</v>
      </c>
      <c r="Q121">
        <v>29</v>
      </c>
    </row>
    <row r="122" spans="1:17">
      <c r="A122">
        <v>120</v>
      </c>
      <c r="B122" t="s">
        <v>470</v>
      </c>
      <c r="C122" t="s">
        <v>471</v>
      </c>
      <c r="D122" t="str">
        <f>"謝宜安"</f>
        <v>0</v>
      </c>
      <c r="E122" t="s">
        <v>34</v>
      </c>
      <c r="F122" t="s">
        <v>472</v>
      </c>
      <c r="G122">
        <v>2000</v>
      </c>
      <c r="H122">
        <v>8</v>
      </c>
      <c r="I122">
        <v>13</v>
      </c>
      <c r="J122" t="str">
        <f>"07-8223568"</f>
        <v>0</v>
      </c>
      <c r="K122" t="str">
        <f>"0939289465"</f>
        <v>0</v>
      </c>
      <c r="L122" t="s">
        <v>473</v>
      </c>
      <c r="M122" t="s">
        <v>37</v>
      </c>
      <c r="N122" t="s">
        <v>184</v>
      </c>
      <c r="O122" t="s">
        <v>383</v>
      </c>
      <c r="P122" t="s">
        <v>40</v>
      </c>
      <c r="Q122">
        <v>99</v>
      </c>
    </row>
    <row r="123" spans="1:17">
      <c r="A123">
        <v>121</v>
      </c>
      <c r="B123" t="s">
        <v>470</v>
      </c>
      <c r="C123" t="s">
        <v>474</v>
      </c>
      <c r="D123" t="str">
        <f>"楊銀珠"</f>
        <v>0</v>
      </c>
      <c r="E123" t="s">
        <v>34</v>
      </c>
      <c r="F123" t="s">
        <v>475</v>
      </c>
      <c r="G123">
        <v>1946</v>
      </c>
      <c r="H123">
        <v>12</v>
      </c>
      <c r="I123">
        <v>15</v>
      </c>
      <c r="J123" t="str">
        <f>"07-8223568"</f>
        <v>0</v>
      </c>
      <c r="K123" t="str">
        <f>"0939289465"</f>
        <v>0</v>
      </c>
      <c r="L123" t="s">
        <v>476</v>
      </c>
      <c r="M123" t="s">
        <v>37</v>
      </c>
      <c r="N123" t="s">
        <v>184</v>
      </c>
      <c r="O123" t="s">
        <v>383</v>
      </c>
      <c r="P123" t="s">
        <v>40</v>
      </c>
      <c r="Q123">
        <v>99</v>
      </c>
    </row>
    <row r="124" spans="1:17">
      <c r="A124">
        <v>122</v>
      </c>
      <c r="B124" t="s">
        <v>356</v>
      </c>
      <c r="C124" t="s">
        <v>477</v>
      </c>
      <c r="D124" t="str">
        <f>"李振邦"</f>
        <v>0</v>
      </c>
      <c r="E124" t="s">
        <v>19</v>
      </c>
      <c r="F124" t="s">
        <v>478</v>
      </c>
      <c r="G124">
        <v>1973</v>
      </c>
      <c r="H124">
        <v>2</v>
      </c>
      <c r="I124">
        <v>15</v>
      </c>
      <c r="J124" t="str">
        <f>"02-22976932"</f>
        <v>0</v>
      </c>
      <c r="K124" t="str">
        <f>"0918808771"</f>
        <v>0</v>
      </c>
      <c r="L124" t="s">
        <v>479</v>
      </c>
      <c r="M124" t="s">
        <v>29</v>
      </c>
      <c r="N124" t="s">
        <v>461</v>
      </c>
      <c r="O124" t="s">
        <v>480</v>
      </c>
      <c r="P124" t="s">
        <v>40</v>
      </c>
      <c r="Q124">
        <v>68</v>
      </c>
    </row>
    <row r="125" spans="1:17">
      <c r="A125">
        <v>123</v>
      </c>
      <c r="B125" t="s">
        <v>32</v>
      </c>
      <c r="C125" t="s">
        <v>481</v>
      </c>
      <c r="D125" t="str">
        <f>"吳雅雯"</f>
        <v>0</v>
      </c>
      <c r="E125" t="s">
        <v>34</v>
      </c>
      <c r="F125" t="s">
        <v>35</v>
      </c>
      <c r="G125">
        <v>1980</v>
      </c>
      <c r="H125">
        <v>1</v>
      </c>
      <c r="I125">
        <v>1</v>
      </c>
      <c r="J125" t="str">
        <f>"07-3531012"</f>
        <v>0</v>
      </c>
      <c r="K125" t="str">
        <f>"0958775137"</f>
        <v>0</v>
      </c>
      <c r="L125" t="s">
        <v>36</v>
      </c>
      <c r="M125" t="s">
        <v>37</v>
      </c>
      <c r="N125" t="s">
        <v>38</v>
      </c>
      <c r="O125" t="s">
        <v>39</v>
      </c>
      <c r="P125" t="s">
        <v>40</v>
      </c>
      <c r="Q125">
        <v>29</v>
      </c>
    </row>
    <row r="126" spans="1:17">
      <c r="A126">
        <v>124</v>
      </c>
      <c r="B126" t="s">
        <v>48</v>
      </c>
      <c r="C126" t="s">
        <v>482</v>
      </c>
      <c r="D126" t="str">
        <f>"李桂娥"</f>
        <v>0</v>
      </c>
      <c r="E126" t="s">
        <v>34</v>
      </c>
      <c r="F126" t="s">
        <v>483</v>
      </c>
      <c r="G126">
        <v>1972</v>
      </c>
      <c r="H126">
        <v>9</v>
      </c>
      <c r="I126">
        <v>8</v>
      </c>
      <c r="J126" t="str">
        <f>"03-4522558"</f>
        <v>0</v>
      </c>
      <c r="K126" t="str">
        <f>"0955551791"</f>
        <v>0</v>
      </c>
      <c r="L126" t="s">
        <v>330</v>
      </c>
      <c r="M126" t="s">
        <v>72</v>
      </c>
      <c r="N126" t="s">
        <v>484</v>
      </c>
      <c r="O126" t="s">
        <v>485</v>
      </c>
      <c r="P126" t="s">
        <v>205</v>
      </c>
      <c r="Q126">
        <v>29</v>
      </c>
    </row>
    <row r="127" spans="1:17">
      <c r="A127">
        <v>125</v>
      </c>
      <c r="B127" t="s">
        <v>32</v>
      </c>
      <c r="C127" t="s">
        <v>486</v>
      </c>
      <c r="D127" t="str">
        <f>"林峻葳"</f>
        <v>0</v>
      </c>
      <c r="E127" t="s">
        <v>19</v>
      </c>
      <c r="F127" t="s">
        <v>487</v>
      </c>
      <c r="G127">
        <v>1982</v>
      </c>
      <c r="H127">
        <v>1</v>
      </c>
      <c r="I127">
        <v>4</v>
      </c>
      <c r="J127" t="str">
        <f>"03-4932227"</f>
        <v>0</v>
      </c>
      <c r="K127" t="str">
        <f>"0937802132"</f>
        <v>0</v>
      </c>
      <c r="L127" t="s">
        <v>488</v>
      </c>
      <c r="M127" t="s">
        <v>72</v>
      </c>
      <c r="N127" t="s">
        <v>197</v>
      </c>
      <c r="O127" t="s">
        <v>489</v>
      </c>
      <c r="P127" t="s">
        <v>25</v>
      </c>
      <c r="Q127">
        <v>29</v>
      </c>
    </row>
    <row r="128" spans="1:17">
      <c r="A128">
        <v>126</v>
      </c>
      <c r="B128" t="s">
        <v>48</v>
      </c>
      <c r="C128" t="s">
        <v>490</v>
      </c>
      <c r="D128" t="str">
        <f>"吳昭玄"</f>
        <v>0</v>
      </c>
      <c r="E128" t="s">
        <v>19</v>
      </c>
      <c r="F128" t="s">
        <v>491</v>
      </c>
      <c r="G128">
        <v>1947</v>
      </c>
      <c r="H128">
        <v>12</v>
      </c>
      <c r="I128">
        <v>15</v>
      </c>
      <c r="J128" t="str">
        <f>"04-25228550"</f>
        <v>0</v>
      </c>
      <c r="K128" t="str">
        <f>"0934037195"</f>
        <v>0</v>
      </c>
      <c r="L128" t="s">
        <v>492</v>
      </c>
      <c r="M128" t="s">
        <v>22</v>
      </c>
      <c r="N128" t="s">
        <v>493</v>
      </c>
      <c r="O128" t="s">
        <v>494</v>
      </c>
      <c r="P128" t="s">
        <v>25</v>
      </c>
      <c r="Q128">
        <v>29</v>
      </c>
    </row>
    <row r="129" spans="1:17">
      <c r="A129">
        <v>127</v>
      </c>
      <c r="B129" t="s">
        <v>199</v>
      </c>
      <c r="C129" t="s">
        <v>495</v>
      </c>
      <c r="D129" t="str">
        <f>"陳嘉雯"</f>
        <v>0</v>
      </c>
      <c r="E129" t="s">
        <v>34</v>
      </c>
      <c r="F129" t="s">
        <v>496</v>
      </c>
      <c r="G129">
        <v>1979</v>
      </c>
      <c r="H129">
        <v>4</v>
      </c>
      <c r="I129">
        <v>22</v>
      </c>
      <c r="J129" t="str">
        <f>"02-29437227"</f>
        <v>0</v>
      </c>
      <c r="K129" t="str">
        <f>"0958960599"</f>
        <v>0</v>
      </c>
      <c r="L129" t="s">
        <v>497</v>
      </c>
      <c r="M129" t="s">
        <v>29</v>
      </c>
      <c r="N129" t="s">
        <v>387</v>
      </c>
      <c r="O129" t="s">
        <v>498</v>
      </c>
      <c r="P129" t="s">
        <v>205</v>
      </c>
      <c r="Q129">
        <v>69</v>
      </c>
    </row>
    <row r="130" spans="1:17">
      <c r="A130">
        <v>128</v>
      </c>
      <c r="B130" t="s">
        <v>48</v>
      </c>
      <c r="C130" t="s">
        <v>499</v>
      </c>
      <c r="D130" t="str">
        <f>"吳昭玄"</f>
        <v>0</v>
      </c>
      <c r="E130" t="s">
        <v>19</v>
      </c>
      <c r="F130" t="s">
        <v>491</v>
      </c>
      <c r="G130">
        <v>1947</v>
      </c>
      <c r="H130">
        <v>12</v>
      </c>
      <c r="I130">
        <v>15</v>
      </c>
      <c r="J130" t="str">
        <f>"04-25228550"</f>
        <v>0</v>
      </c>
      <c r="K130" t="str">
        <f>"0934037195"</f>
        <v>0</v>
      </c>
      <c r="L130" t="s">
        <v>492</v>
      </c>
      <c r="M130" t="s">
        <v>22</v>
      </c>
      <c r="N130" t="s">
        <v>493</v>
      </c>
      <c r="O130" t="s">
        <v>494</v>
      </c>
      <c r="P130" t="s">
        <v>25</v>
      </c>
      <c r="Q130">
        <v>29</v>
      </c>
    </row>
    <row r="131" spans="1:17">
      <c r="A131">
        <v>129</v>
      </c>
      <c r="B131" t="s">
        <v>48</v>
      </c>
      <c r="C131" t="s">
        <v>500</v>
      </c>
      <c r="D131" t="str">
        <f>"陳雅珍"</f>
        <v>0</v>
      </c>
      <c r="E131" t="s">
        <v>34</v>
      </c>
      <c r="F131" t="s">
        <v>501</v>
      </c>
      <c r="G131">
        <v>1974</v>
      </c>
      <c r="H131">
        <v>11</v>
      </c>
      <c r="I131">
        <v>20</v>
      </c>
      <c r="J131" t="str">
        <f>"09-63144878"</f>
        <v>0</v>
      </c>
      <c r="K131" t="str">
        <f>"0963144878"</f>
        <v>0</v>
      </c>
      <c r="L131" t="s">
        <v>502</v>
      </c>
      <c r="M131" t="s">
        <v>151</v>
      </c>
      <c r="N131" t="s">
        <v>503</v>
      </c>
      <c r="O131" t="s">
        <v>504</v>
      </c>
      <c r="P131" t="s">
        <v>25</v>
      </c>
      <c r="Q131">
        <v>29</v>
      </c>
    </row>
    <row r="132" spans="1:17">
      <c r="A132">
        <v>130</v>
      </c>
      <c r="B132" t="s">
        <v>48</v>
      </c>
      <c r="C132" t="s">
        <v>505</v>
      </c>
      <c r="D132" t="str">
        <f>"傅玉綏"</f>
        <v>0</v>
      </c>
      <c r="E132" t="s">
        <v>34</v>
      </c>
      <c r="F132" t="s">
        <v>506</v>
      </c>
      <c r="G132">
        <v>1978</v>
      </c>
      <c r="H132">
        <v>11</v>
      </c>
      <c r="I132">
        <v>16</v>
      </c>
      <c r="J132" t="str">
        <f>"07-3626101"</f>
        <v>0</v>
      </c>
      <c r="K132" t="str">
        <f>"0982303089"</f>
        <v>0</v>
      </c>
      <c r="L132" t="s">
        <v>507</v>
      </c>
      <c r="M132" t="s">
        <v>37</v>
      </c>
      <c r="N132" t="s">
        <v>320</v>
      </c>
      <c r="O132" t="s">
        <v>508</v>
      </c>
      <c r="P132" t="s">
        <v>25</v>
      </c>
      <c r="Q132">
        <v>29</v>
      </c>
    </row>
    <row r="133" spans="1:17">
      <c r="A133">
        <v>131</v>
      </c>
      <c r="B133" t="s">
        <v>48</v>
      </c>
      <c r="C133" t="s">
        <v>509</v>
      </c>
      <c r="D133" t="str">
        <f>"林永峰"</f>
        <v>0</v>
      </c>
      <c r="E133" t="s">
        <v>19</v>
      </c>
      <c r="F133" t="s">
        <v>510</v>
      </c>
      <c r="G133">
        <v>1979</v>
      </c>
      <c r="H133">
        <v>4</v>
      </c>
      <c r="I133">
        <v>16</v>
      </c>
      <c r="J133" t="str">
        <f>"0960-535381"</f>
        <v>0</v>
      </c>
      <c r="K133" t="str">
        <f>"0960535381"</f>
        <v>0</v>
      </c>
      <c r="L133" t="s">
        <v>511</v>
      </c>
      <c r="M133" t="s">
        <v>22</v>
      </c>
      <c r="N133" t="s">
        <v>126</v>
      </c>
      <c r="O133" t="s">
        <v>512</v>
      </c>
      <c r="P133" t="s">
        <v>25</v>
      </c>
      <c r="Q133">
        <v>29</v>
      </c>
    </row>
    <row r="134" spans="1:17">
      <c r="A134">
        <v>132</v>
      </c>
      <c r="B134" t="s">
        <v>48</v>
      </c>
      <c r="C134" t="s">
        <v>513</v>
      </c>
      <c r="D134" t="str">
        <f>"吳勝雄"</f>
        <v>0</v>
      </c>
      <c r="E134" t="s">
        <v>19</v>
      </c>
      <c r="F134" t="s">
        <v>514</v>
      </c>
      <c r="G134">
        <v>1979</v>
      </c>
      <c r="H134">
        <v>4</v>
      </c>
      <c r="I134">
        <v>4</v>
      </c>
      <c r="J134" t="str">
        <f>"0960-535391"</f>
        <v>0</v>
      </c>
      <c r="K134" t="str">
        <f>"0960535391"</f>
        <v>0</v>
      </c>
      <c r="L134" t="s">
        <v>515</v>
      </c>
      <c r="M134" t="s">
        <v>22</v>
      </c>
      <c r="N134" t="s">
        <v>226</v>
      </c>
      <c r="O134" t="s">
        <v>355</v>
      </c>
      <c r="P134" t="s">
        <v>25</v>
      </c>
      <c r="Q134">
        <v>29</v>
      </c>
    </row>
    <row r="135" spans="1:17">
      <c r="A135">
        <v>133</v>
      </c>
      <c r="B135" t="s">
        <v>48</v>
      </c>
      <c r="C135" t="s">
        <v>516</v>
      </c>
      <c r="D135" t="str">
        <f>"林春生"</f>
        <v>0</v>
      </c>
      <c r="E135" t="s">
        <v>19</v>
      </c>
      <c r="F135" t="s">
        <v>517</v>
      </c>
      <c r="G135">
        <v>1948</v>
      </c>
      <c r="H135">
        <v>10</v>
      </c>
      <c r="I135">
        <v>31</v>
      </c>
      <c r="J135" t="str">
        <f>"0960-535381"</f>
        <v>0</v>
      </c>
      <c r="K135" t="str">
        <f>"0960535381"</f>
        <v>0</v>
      </c>
      <c r="L135" t="s">
        <v>518</v>
      </c>
      <c r="M135" t="s">
        <v>22</v>
      </c>
      <c r="N135" t="s">
        <v>126</v>
      </c>
      <c r="O135" t="s">
        <v>512</v>
      </c>
      <c r="P135" t="s">
        <v>25</v>
      </c>
      <c r="Q135">
        <v>29</v>
      </c>
    </row>
    <row r="136" spans="1:17">
      <c r="A136">
        <v>134</v>
      </c>
      <c r="B136" t="s">
        <v>48</v>
      </c>
      <c r="C136" t="s">
        <v>519</v>
      </c>
      <c r="D136" t="str">
        <f>"鄭貴娘"</f>
        <v>0</v>
      </c>
      <c r="E136" t="s">
        <v>34</v>
      </c>
      <c r="F136" t="s">
        <v>520</v>
      </c>
      <c r="G136">
        <v>1957</v>
      </c>
      <c r="H136">
        <v>11</v>
      </c>
      <c r="I136">
        <v>29</v>
      </c>
      <c r="J136" t="str">
        <f>"0960-535381"</f>
        <v>0</v>
      </c>
      <c r="K136" t="str">
        <f>"0960535381"</f>
        <v>0</v>
      </c>
      <c r="L136" t="s">
        <v>521</v>
      </c>
      <c r="M136" t="s">
        <v>22</v>
      </c>
      <c r="N136" t="s">
        <v>126</v>
      </c>
      <c r="O136" t="s">
        <v>512</v>
      </c>
      <c r="P136" t="s">
        <v>25</v>
      </c>
      <c r="Q136">
        <v>29</v>
      </c>
    </row>
    <row r="137" spans="1:17">
      <c r="A137">
        <v>135</v>
      </c>
      <c r="B137" t="s">
        <v>48</v>
      </c>
      <c r="C137" t="s">
        <v>522</v>
      </c>
      <c r="D137" t="str">
        <f>"林炫宗"</f>
        <v>0</v>
      </c>
      <c r="E137" t="s">
        <v>19</v>
      </c>
      <c r="F137" t="s">
        <v>523</v>
      </c>
      <c r="G137">
        <v>1982</v>
      </c>
      <c r="H137">
        <v>6</v>
      </c>
      <c r="I137">
        <v>30</v>
      </c>
      <c r="J137" t="str">
        <f>"03-3478683"</f>
        <v>0</v>
      </c>
      <c r="K137" t="str">
        <f>"0955646187"</f>
        <v>0</v>
      </c>
      <c r="L137" t="s">
        <v>524</v>
      </c>
      <c r="M137" t="s">
        <v>72</v>
      </c>
      <c r="N137" t="s">
        <v>73</v>
      </c>
      <c r="O137" t="s">
        <v>525</v>
      </c>
      <c r="P137" t="s">
        <v>25</v>
      </c>
      <c r="Q137">
        <v>29</v>
      </c>
    </row>
    <row r="138" spans="1:17">
      <c r="A138">
        <v>136</v>
      </c>
      <c r="B138" t="s">
        <v>48</v>
      </c>
      <c r="C138" t="s">
        <v>526</v>
      </c>
      <c r="D138" t="str">
        <f>"蔡耀畿"</f>
        <v>0</v>
      </c>
      <c r="E138" t="s">
        <v>19</v>
      </c>
      <c r="F138" t="s">
        <v>527</v>
      </c>
      <c r="G138">
        <v>1986</v>
      </c>
      <c r="H138">
        <v>4</v>
      </c>
      <c r="I138">
        <v>7</v>
      </c>
      <c r="J138" t="str">
        <f>"03-3203333"</f>
        <v>0</v>
      </c>
      <c r="K138" t="str">
        <f>"0919414519"</f>
        <v>0</v>
      </c>
      <c r="L138" t="s">
        <v>528</v>
      </c>
      <c r="M138" t="s">
        <v>72</v>
      </c>
      <c r="N138" t="s">
        <v>529</v>
      </c>
      <c r="O138" t="s">
        <v>530</v>
      </c>
      <c r="P138" t="s">
        <v>531</v>
      </c>
      <c r="Q138">
        <v>29</v>
      </c>
    </row>
    <row r="139" spans="1:17">
      <c r="A139">
        <v>137</v>
      </c>
      <c r="B139" t="s">
        <v>48</v>
      </c>
      <c r="C139" t="s">
        <v>532</v>
      </c>
      <c r="D139" t="str">
        <f>"何宇婕"</f>
        <v>0</v>
      </c>
      <c r="E139" t="s">
        <v>34</v>
      </c>
      <c r="F139" t="s">
        <v>182</v>
      </c>
      <c r="G139">
        <v>2003</v>
      </c>
      <c r="H139">
        <v>9</v>
      </c>
      <c r="I139">
        <v>22</v>
      </c>
      <c r="J139" t="str">
        <f>"07-6819536"</f>
        <v>0</v>
      </c>
      <c r="K139" t="str">
        <f>"0925383456"</f>
        <v>0</v>
      </c>
      <c r="L139" t="s">
        <v>183</v>
      </c>
      <c r="M139" t="s">
        <v>37</v>
      </c>
      <c r="N139" t="s">
        <v>184</v>
      </c>
      <c r="O139" t="s">
        <v>185</v>
      </c>
      <c r="P139" t="s">
        <v>91</v>
      </c>
      <c r="Q139">
        <v>29</v>
      </c>
    </row>
    <row r="140" spans="1:17">
      <c r="A140">
        <v>138</v>
      </c>
      <c r="B140" t="s">
        <v>199</v>
      </c>
      <c r="C140" t="s">
        <v>533</v>
      </c>
      <c r="D140" t="str">
        <f>"許錦慧"</f>
        <v>0</v>
      </c>
      <c r="E140" t="s">
        <v>34</v>
      </c>
      <c r="F140" t="s">
        <v>534</v>
      </c>
      <c r="G140">
        <v>1968</v>
      </c>
      <c r="H140">
        <v>4</v>
      </c>
      <c r="I140">
        <v>1</v>
      </c>
      <c r="J140" t="str">
        <f>"02-82628854"</f>
        <v>0</v>
      </c>
      <c r="K140" t="str">
        <f>"0932537887"</f>
        <v>0</v>
      </c>
      <c r="L140" t="s">
        <v>535</v>
      </c>
      <c r="M140" t="s">
        <v>29</v>
      </c>
      <c r="N140" t="s">
        <v>52</v>
      </c>
      <c r="O140" t="s">
        <v>536</v>
      </c>
      <c r="P140" t="s">
        <v>537</v>
      </c>
      <c r="Q140">
        <v>29</v>
      </c>
    </row>
    <row r="141" spans="1:17">
      <c r="A141">
        <v>139</v>
      </c>
      <c r="B141" t="s">
        <v>199</v>
      </c>
      <c r="C141" t="s">
        <v>538</v>
      </c>
      <c r="D141" t="str">
        <f>"陳資宜"</f>
        <v>0</v>
      </c>
      <c r="E141" t="s">
        <v>19</v>
      </c>
      <c r="F141" t="s">
        <v>539</v>
      </c>
      <c r="G141">
        <v>1971</v>
      </c>
      <c r="H141">
        <v>11</v>
      </c>
      <c r="I141">
        <v>2</v>
      </c>
      <c r="J141" t="str">
        <f>"02-23620823"</f>
        <v>0</v>
      </c>
      <c r="K141" t="str">
        <f>"0915119460"</f>
        <v>0</v>
      </c>
      <c r="L141" t="s">
        <v>540</v>
      </c>
      <c r="M141" t="s">
        <v>63</v>
      </c>
      <c r="N141" t="s">
        <v>541</v>
      </c>
      <c r="O141" t="s">
        <v>542</v>
      </c>
      <c r="P141" t="s">
        <v>25</v>
      </c>
      <c r="Q141">
        <v>69</v>
      </c>
    </row>
    <row r="142" spans="1:17">
      <c r="A142">
        <v>140</v>
      </c>
      <c r="B142" t="s">
        <v>48</v>
      </c>
      <c r="C142" t="s">
        <v>543</v>
      </c>
      <c r="D142" t="str">
        <f>"姚惠玲"</f>
        <v>0</v>
      </c>
      <c r="E142" t="s">
        <v>34</v>
      </c>
      <c r="F142" t="s">
        <v>544</v>
      </c>
      <c r="G142">
        <v>1979</v>
      </c>
      <c r="H142">
        <v>9</v>
      </c>
      <c r="I142">
        <v>24</v>
      </c>
      <c r="J142" t="str">
        <f>"03-554613"</f>
        <v>0</v>
      </c>
      <c r="K142" t="str">
        <f>"0936712641"</f>
        <v>0</v>
      </c>
      <c r="L142" t="s">
        <v>545</v>
      </c>
      <c r="M142" t="s">
        <v>72</v>
      </c>
      <c r="N142" t="s">
        <v>73</v>
      </c>
      <c r="O142" t="s">
        <v>546</v>
      </c>
      <c r="P142" t="s">
        <v>25</v>
      </c>
      <c r="Q142">
        <v>29</v>
      </c>
    </row>
    <row r="143" spans="1:17">
      <c r="A143">
        <v>141</v>
      </c>
      <c r="B143" t="s">
        <v>41</v>
      </c>
      <c r="C143" t="s">
        <v>547</v>
      </c>
      <c r="D143" t="str">
        <f>"陳嘉湖"</f>
        <v>0</v>
      </c>
      <c r="E143" t="s">
        <v>19</v>
      </c>
      <c r="F143" t="s">
        <v>416</v>
      </c>
      <c r="G143">
        <v>1976</v>
      </c>
      <c r="H143">
        <v>6</v>
      </c>
      <c r="I143">
        <v>13</v>
      </c>
      <c r="J143" t="str">
        <f>"03-3521922"</f>
        <v>0</v>
      </c>
      <c r="K143" t="str">
        <f>"0955153532"</f>
        <v>0</v>
      </c>
      <c r="L143" t="s">
        <v>417</v>
      </c>
      <c r="M143" t="s">
        <v>72</v>
      </c>
      <c r="N143" t="s">
        <v>418</v>
      </c>
      <c r="O143" t="s">
        <v>419</v>
      </c>
      <c r="P143" t="s">
        <v>25</v>
      </c>
      <c r="Q143">
        <v>29</v>
      </c>
    </row>
    <row r="144" spans="1:17">
      <c r="A144">
        <v>142</v>
      </c>
      <c r="B144" t="s">
        <v>199</v>
      </c>
      <c r="C144" t="s">
        <v>548</v>
      </c>
      <c r="D144" t="str">
        <f>"鄭雅尹"</f>
        <v>0</v>
      </c>
      <c r="E144" t="s">
        <v>34</v>
      </c>
      <c r="F144" t="s">
        <v>549</v>
      </c>
      <c r="G144">
        <v>1979</v>
      </c>
      <c r="H144">
        <v>10</v>
      </c>
      <c r="I144">
        <v>26</v>
      </c>
      <c r="J144" t="str">
        <f>"02-33227190"</f>
        <v>0</v>
      </c>
      <c r="K144" t="str">
        <f>"0919563196"</f>
        <v>0</v>
      </c>
      <c r="L144" t="s">
        <v>550</v>
      </c>
      <c r="M144" t="s">
        <v>63</v>
      </c>
      <c r="N144" t="s">
        <v>551</v>
      </c>
      <c r="O144" t="s">
        <v>552</v>
      </c>
      <c r="P144" t="s">
        <v>25</v>
      </c>
      <c r="Q144">
        <v>129</v>
      </c>
    </row>
    <row r="145" spans="1:17">
      <c r="A145">
        <v>143</v>
      </c>
      <c r="B145" t="s">
        <v>48</v>
      </c>
      <c r="C145" t="s">
        <v>553</v>
      </c>
      <c r="D145" t="str">
        <f>"施廷城"</f>
        <v>0</v>
      </c>
      <c r="E145" t="s">
        <v>19</v>
      </c>
      <c r="F145" t="s">
        <v>554</v>
      </c>
      <c r="G145">
        <v>1965</v>
      </c>
      <c r="H145">
        <v>4</v>
      </c>
      <c r="I145">
        <v>21</v>
      </c>
      <c r="J145" t="str">
        <f>"02-23324797"</f>
        <v>0</v>
      </c>
      <c r="K145" t="str">
        <f>"0938049052"</f>
        <v>0</v>
      </c>
      <c r="L145" t="s">
        <v>427</v>
      </c>
      <c r="M145" t="s">
        <v>63</v>
      </c>
      <c r="N145" t="s">
        <v>428</v>
      </c>
      <c r="O145" t="s">
        <v>429</v>
      </c>
      <c r="P145" t="s">
        <v>91</v>
      </c>
      <c r="Q145">
        <v>29</v>
      </c>
    </row>
    <row r="146" spans="1:17">
      <c r="A146">
        <v>144</v>
      </c>
      <c r="B146" t="s">
        <v>48</v>
      </c>
      <c r="C146" t="s">
        <v>555</v>
      </c>
      <c r="D146" t="str">
        <f>"示佩玲"</f>
        <v>0</v>
      </c>
      <c r="E146" t="s">
        <v>34</v>
      </c>
      <c r="F146" t="s">
        <v>556</v>
      </c>
      <c r="G146">
        <v>1978</v>
      </c>
      <c r="H146">
        <v>12</v>
      </c>
      <c r="I146">
        <v>23</v>
      </c>
      <c r="J146" t="str">
        <f>"04-7764335"</f>
        <v>0</v>
      </c>
      <c r="K146" t="str">
        <f>"0911335916"</f>
        <v>0</v>
      </c>
      <c r="L146" t="s">
        <v>557</v>
      </c>
      <c r="M146" t="s">
        <v>151</v>
      </c>
      <c r="N146" t="s">
        <v>558</v>
      </c>
      <c r="O146" t="s">
        <v>559</v>
      </c>
      <c r="P146" t="s">
        <v>25</v>
      </c>
      <c r="Q146">
        <v>29</v>
      </c>
    </row>
    <row r="147" spans="1:17">
      <c r="A147">
        <v>145</v>
      </c>
      <c r="B147" t="s">
        <v>48</v>
      </c>
      <c r="C147" t="s">
        <v>560</v>
      </c>
      <c r="D147" t="str">
        <f>"林宏山"</f>
        <v>0</v>
      </c>
      <c r="E147" t="s">
        <v>19</v>
      </c>
      <c r="F147" t="s">
        <v>561</v>
      </c>
      <c r="G147">
        <v>1981</v>
      </c>
      <c r="H147">
        <v>11</v>
      </c>
      <c r="I147">
        <v>26</v>
      </c>
      <c r="J147" t="str">
        <f>"04-7755558"</f>
        <v>0</v>
      </c>
      <c r="K147" t="str">
        <f>"0911111055"</f>
        <v>0</v>
      </c>
      <c r="L147" t="s">
        <v>562</v>
      </c>
      <c r="M147" t="s">
        <v>151</v>
      </c>
      <c r="N147" t="s">
        <v>558</v>
      </c>
      <c r="O147" t="s">
        <v>563</v>
      </c>
      <c r="P147" t="s">
        <v>25</v>
      </c>
      <c r="Q147">
        <v>29</v>
      </c>
    </row>
    <row r="148" spans="1:17">
      <c r="A148">
        <v>146</v>
      </c>
      <c r="B148" t="s">
        <v>48</v>
      </c>
      <c r="C148" t="s">
        <v>564</v>
      </c>
      <c r="D148" t="str">
        <f>"孫幸嫻"</f>
        <v>0</v>
      </c>
      <c r="E148" t="s">
        <v>34</v>
      </c>
      <c r="F148" t="s">
        <v>50</v>
      </c>
      <c r="G148">
        <v>1980</v>
      </c>
      <c r="H148">
        <v>3</v>
      </c>
      <c r="I148">
        <v>31</v>
      </c>
      <c r="J148" t="str">
        <f>"02-22679000"</f>
        <v>0</v>
      </c>
      <c r="K148" t="str">
        <f>"0968167257"</f>
        <v>0</v>
      </c>
      <c r="L148" t="s">
        <v>51</v>
      </c>
      <c r="M148" t="s">
        <v>29</v>
      </c>
      <c r="N148" t="s">
        <v>52</v>
      </c>
      <c r="O148" t="s">
        <v>53</v>
      </c>
      <c r="P148" t="s">
        <v>25</v>
      </c>
      <c r="Q148">
        <v>29</v>
      </c>
    </row>
    <row r="149" spans="1:17">
      <c r="A149">
        <v>147</v>
      </c>
      <c r="B149" t="s">
        <v>48</v>
      </c>
      <c r="C149" t="s">
        <v>565</v>
      </c>
      <c r="D149" t="str">
        <f>"黃于芝"</f>
        <v>0</v>
      </c>
      <c r="E149" t="s">
        <v>34</v>
      </c>
      <c r="F149" t="s">
        <v>566</v>
      </c>
      <c r="G149">
        <v>1978</v>
      </c>
      <c r="H149">
        <v>6</v>
      </c>
      <c r="I149">
        <v>12</v>
      </c>
      <c r="J149" t="str">
        <f>"0913-108655"</f>
        <v>0</v>
      </c>
      <c r="K149" t="str">
        <f>"0913108655"</f>
        <v>0</v>
      </c>
      <c r="L149" t="s">
        <v>567</v>
      </c>
      <c r="M149" t="s">
        <v>360</v>
      </c>
      <c r="N149" t="s">
        <v>568</v>
      </c>
      <c r="O149" t="s">
        <v>569</v>
      </c>
      <c r="P149" t="s">
        <v>25</v>
      </c>
      <c r="Q149">
        <v>29</v>
      </c>
    </row>
    <row r="150" spans="1:17">
      <c r="A150">
        <v>148</v>
      </c>
      <c r="B150" t="s">
        <v>48</v>
      </c>
      <c r="C150" t="s">
        <v>570</v>
      </c>
      <c r="D150" t="str">
        <f>"何信賢"</f>
        <v>0</v>
      </c>
      <c r="E150" t="s">
        <v>19</v>
      </c>
      <c r="F150" t="s">
        <v>571</v>
      </c>
      <c r="G150">
        <v>1978</v>
      </c>
      <c r="H150">
        <v>2</v>
      </c>
      <c r="I150">
        <v>1</v>
      </c>
      <c r="J150" t="str">
        <f>"09-58464999"</f>
        <v>0</v>
      </c>
      <c r="K150" t="str">
        <f>"0958464999"</f>
        <v>0</v>
      </c>
      <c r="L150" t="s">
        <v>572</v>
      </c>
      <c r="M150" t="s">
        <v>29</v>
      </c>
      <c r="N150" t="s">
        <v>387</v>
      </c>
      <c r="O150" t="s">
        <v>573</v>
      </c>
      <c r="P150" t="s">
        <v>25</v>
      </c>
      <c r="Q150">
        <v>29</v>
      </c>
    </row>
    <row r="151" spans="1:17">
      <c r="A151">
        <v>149</v>
      </c>
      <c r="B151" t="s">
        <v>48</v>
      </c>
      <c r="C151" t="s">
        <v>574</v>
      </c>
      <c r="D151" t="str">
        <f>"陳品中"</f>
        <v>0</v>
      </c>
      <c r="E151" t="s">
        <v>19</v>
      </c>
      <c r="F151" t="s">
        <v>575</v>
      </c>
      <c r="G151">
        <v>1986</v>
      </c>
      <c r="H151">
        <v>11</v>
      </c>
      <c r="I151">
        <v>26</v>
      </c>
      <c r="J151" t="str">
        <f>"02-27127449"</f>
        <v>0</v>
      </c>
      <c r="K151" t="str">
        <f>"0933124896"</f>
        <v>0</v>
      </c>
      <c r="L151" t="s">
        <v>576</v>
      </c>
      <c r="M151" t="s">
        <v>63</v>
      </c>
      <c r="N151" t="s">
        <v>159</v>
      </c>
      <c r="O151" t="s">
        <v>577</v>
      </c>
      <c r="P151" t="s">
        <v>25</v>
      </c>
      <c r="Q151">
        <v>29</v>
      </c>
    </row>
    <row r="152" spans="1:17">
      <c r="A152">
        <v>150</v>
      </c>
      <c r="B152" t="s">
        <v>48</v>
      </c>
      <c r="C152" t="s">
        <v>578</v>
      </c>
      <c r="D152" t="str">
        <f>"何　灝"</f>
        <v>0</v>
      </c>
      <c r="E152" t="s">
        <v>34</v>
      </c>
      <c r="F152" t="s">
        <v>579</v>
      </c>
      <c r="G152">
        <v>1982</v>
      </c>
      <c r="H152">
        <v>10</v>
      </c>
      <c r="I152">
        <v>30</v>
      </c>
      <c r="J152" t="str">
        <f>"02-82276298"</f>
        <v>0</v>
      </c>
      <c r="K152" t="str">
        <f>"0928011980"</f>
        <v>0</v>
      </c>
      <c r="L152" t="s">
        <v>580</v>
      </c>
      <c r="M152" t="s">
        <v>29</v>
      </c>
      <c r="N152" t="s">
        <v>387</v>
      </c>
      <c r="O152" t="s">
        <v>581</v>
      </c>
      <c r="P152" t="s">
        <v>25</v>
      </c>
      <c r="Q152">
        <v>29</v>
      </c>
    </row>
    <row r="153" spans="1:17">
      <c r="A153">
        <v>151</v>
      </c>
      <c r="B153" t="s">
        <v>32</v>
      </c>
      <c r="C153" t="s">
        <v>582</v>
      </c>
      <c r="D153" t="str">
        <f>"何　灝"</f>
        <v>0</v>
      </c>
      <c r="E153" t="s">
        <v>34</v>
      </c>
      <c r="F153" t="s">
        <v>579</v>
      </c>
      <c r="G153">
        <v>1982</v>
      </c>
      <c r="H153">
        <v>10</v>
      </c>
      <c r="I153">
        <v>30</v>
      </c>
      <c r="J153" t="str">
        <f>"02-82276298"</f>
        <v>0</v>
      </c>
      <c r="K153" t="str">
        <f>"0928011980"</f>
        <v>0</v>
      </c>
      <c r="L153" t="s">
        <v>580</v>
      </c>
      <c r="M153" t="s">
        <v>29</v>
      </c>
      <c r="N153" t="s">
        <v>387</v>
      </c>
      <c r="O153" t="s">
        <v>581</v>
      </c>
      <c r="P153" t="s">
        <v>25</v>
      </c>
      <c r="Q153">
        <v>29</v>
      </c>
    </row>
    <row r="154" spans="1:17">
      <c r="A154">
        <v>152</v>
      </c>
      <c r="B154" t="s">
        <v>48</v>
      </c>
      <c r="C154" t="s">
        <v>583</v>
      </c>
      <c r="D154" t="str">
        <f>"黃珮慈"</f>
        <v>0</v>
      </c>
      <c r="E154" t="s">
        <v>34</v>
      </c>
      <c r="F154" t="s">
        <v>584</v>
      </c>
      <c r="G154">
        <v>1982</v>
      </c>
      <c r="H154">
        <v>12</v>
      </c>
      <c r="I154">
        <v>30</v>
      </c>
      <c r="J154" t="str">
        <f>"05-5872767"</f>
        <v>0</v>
      </c>
      <c r="K154" t="str">
        <f>"0988326830"</f>
        <v>0</v>
      </c>
      <c r="L154" t="s">
        <v>585</v>
      </c>
      <c r="M154" t="s">
        <v>586</v>
      </c>
      <c r="N154" t="s">
        <v>587</v>
      </c>
      <c r="O154" t="s">
        <v>588</v>
      </c>
      <c r="P154" t="s">
        <v>25</v>
      </c>
      <c r="Q154">
        <v>29</v>
      </c>
    </row>
    <row r="155" spans="1:17">
      <c r="A155">
        <v>153</v>
      </c>
      <c r="B155" t="s">
        <v>48</v>
      </c>
      <c r="C155" t="s">
        <v>589</v>
      </c>
      <c r="D155" t="str">
        <f>"黃珮慈"</f>
        <v>0</v>
      </c>
      <c r="E155" t="s">
        <v>34</v>
      </c>
      <c r="F155" t="s">
        <v>584</v>
      </c>
      <c r="G155">
        <v>1982</v>
      </c>
      <c r="H155">
        <v>12</v>
      </c>
      <c r="I155">
        <v>30</v>
      </c>
      <c r="J155" t="str">
        <f>"05-5872767"</f>
        <v>0</v>
      </c>
      <c r="K155" t="str">
        <f>"0988326830"</f>
        <v>0</v>
      </c>
      <c r="L155" t="s">
        <v>585</v>
      </c>
      <c r="M155" t="s">
        <v>586</v>
      </c>
      <c r="N155" t="s">
        <v>587</v>
      </c>
      <c r="O155" t="s">
        <v>590</v>
      </c>
      <c r="P155" t="s">
        <v>25</v>
      </c>
      <c r="Q155">
        <v>29</v>
      </c>
    </row>
    <row r="156" spans="1:17">
      <c r="A156">
        <v>154</v>
      </c>
      <c r="B156" t="s">
        <v>48</v>
      </c>
      <c r="C156" t="s">
        <v>591</v>
      </c>
      <c r="D156" t="str">
        <f>"姚惠玲"</f>
        <v>0</v>
      </c>
      <c r="E156" t="s">
        <v>34</v>
      </c>
      <c r="F156" t="s">
        <v>544</v>
      </c>
      <c r="G156">
        <v>1979</v>
      </c>
      <c r="H156">
        <v>9</v>
      </c>
      <c r="I156">
        <v>24</v>
      </c>
      <c r="J156" t="str">
        <f>"03-3554613"</f>
        <v>0</v>
      </c>
      <c r="K156" t="str">
        <f>"0936712641"</f>
        <v>0</v>
      </c>
      <c r="L156" t="s">
        <v>545</v>
      </c>
      <c r="M156" t="s">
        <v>72</v>
      </c>
      <c r="N156" t="s">
        <v>73</v>
      </c>
      <c r="O156" t="s">
        <v>546</v>
      </c>
      <c r="P156" t="s">
        <v>25</v>
      </c>
      <c r="Q156">
        <v>29</v>
      </c>
    </row>
    <row r="157" spans="1:17">
      <c r="A157">
        <v>155</v>
      </c>
      <c r="B157" t="s">
        <v>48</v>
      </c>
      <c r="C157" t="s">
        <v>592</v>
      </c>
      <c r="D157" t="str">
        <f>"邱慧珊"</f>
        <v>0</v>
      </c>
      <c r="E157" t="s">
        <v>34</v>
      </c>
      <c r="F157" t="s">
        <v>412</v>
      </c>
      <c r="G157">
        <v>1980</v>
      </c>
      <c r="H157">
        <v>5</v>
      </c>
      <c r="I157">
        <v>3</v>
      </c>
      <c r="J157" t="str">
        <f>"09557-775989"</f>
        <v>0</v>
      </c>
      <c r="K157" t="str">
        <f>"0955775989"</f>
        <v>0</v>
      </c>
      <c r="L157" t="s">
        <v>413</v>
      </c>
      <c r="M157" t="s">
        <v>151</v>
      </c>
      <c r="N157" t="s">
        <v>152</v>
      </c>
      <c r="O157" t="s">
        <v>414</v>
      </c>
      <c r="P157" t="s">
        <v>25</v>
      </c>
      <c r="Q157">
        <v>29</v>
      </c>
    </row>
    <row r="158" spans="1:17">
      <c r="A158">
        <v>156</v>
      </c>
      <c r="B158" t="s">
        <v>48</v>
      </c>
      <c r="C158" t="s">
        <v>593</v>
      </c>
      <c r="D158" t="str">
        <f>"邱慧珊"</f>
        <v>0</v>
      </c>
      <c r="E158" t="s">
        <v>34</v>
      </c>
      <c r="F158" t="s">
        <v>412</v>
      </c>
      <c r="G158">
        <v>1980</v>
      </c>
      <c r="H158">
        <v>5</v>
      </c>
      <c r="I158">
        <v>3</v>
      </c>
      <c r="J158" t="str">
        <f>"0955-775989"</f>
        <v>0</v>
      </c>
      <c r="K158" t="str">
        <f>"0955775989"</f>
        <v>0</v>
      </c>
      <c r="L158" t="s">
        <v>413</v>
      </c>
      <c r="M158" t="s">
        <v>151</v>
      </c>
      <c r="N158" t="s">
        <v>152</v>
      </c>
      <c r="O158" t="s">
        <v>414</v>
      </c>
      <c r="P158" t="s">
        <v>25</v>
      </c>
      <c r="Q158">
        <v>29</v>
      </c>
    </row>
    <row r="159" spans="1:17">
      <c r="A159">
        <v>157</v>
      </c>
      <c r="B159" t="s">
        <v>48</v>
      </c>
      <c r="C159" t="s">
        <v>594</v>
      </c>
      <c r="D159" t="str">
        <f>"邱慧珊"</f>
        <v>0</v>
      </c>
      <c r="E159" t="s">
        <v>34</v>
      </c>
      <c r="F159" t="s">
        <v>412</v>
      </c>
      <c r="G159">
        <v>1980</v>
      </c>
      <c r="H159">
        <v>5</v>
      </c>
      <c r="I159">
        <v>3</v>
      </c>
      <c r="J159" t="str">
        <f>"0955-775989"</f>
        <v>0</v>
      </c>
      <c r="K159" t="str">
        <f>"0955775989"</f>
        <v>0</v>
      </c>
      <c r="L159" t="s">
        <v>413</v>
      </c>
      <c r="M159" t="s">
        <v>151</v>
      </c>
      <c r="N159" t="s">
        <v>152</v>
      </c>
      <c r="O159" t="s">
        <v>414</v>
      </c>
      <c r="P159" t="s">
        <v>25</v>
      </c>
      <c r="Q159">
        <v>29</v>
      </c>
    </row>
    <row r="160" spans="1:17">
      <c r="A160">
        <v>158</v>
      </c>
      <c r="B160" t="s">
        <v>48</v>
      </c>
      <c r="C160" t="s">
        <v>595</v>
      </c>
      <c r="D160" t="str">
        <f>"邱慧珊"</f>
        <v>0</v>
      </c>
      <c r="E160" t="s">
        <v>34</v>
      </c>
      <c r="F160" t="s">
        <v>412</v>
      </c>
      <c r="G160">
        <v>1980</v>
      </c>
      <c r="H160">
        <v>5</v>
      </c>
      <c r="I160">
        <v>3</v>
      </c>
      <c r="J160" t="str">
        <f>"0955-775989"</f>
        <v>0</v>
      </c>
      <c r="K160" t="str">
        <f>"0955775989"</f>
        <v>0</v>
      </c>
      <c r="L160" t="s">
        <v>413</v>
      </c>
      <c r="M160" t="s">
        <v>151</v>
      </c>
      <c r="N160" t="s">
        <v>152</v>
      </c>
      <c r="O160" t="s">
        <v>414</v>
      </c>
      <c r="P160" t="s">
        <v>25</v>
      </c>
      <c r="Q160">
        <v>29</v>
      </c>
    </row>
    <row r="161" spans="1:17">
      <c r="A161">
        <v>159</v>
      </c>
      <c r="B161" t="s">
        <v>48</v>
      </c>
      <c r="C161" t="s">
        <v>596</v>
      </c>
      <c r="D161" t="str">
        <f>"李應農"</f>
        <v>0</v>
      </c>
      <c r="E161" t="s">
        <v>19</v>
      </c>
      <c r="F161" t="s">
        <v>597</v>
      </c>
      <c r="G161">
        <v>1949</v>
      </c>
      <c r="H161">
        <v>4</v>
      </c>
      <c r="I161">
        <v>1</v>
      </c>
      <c r="J161" t="str">
        <f>"05-5981857"</f>
        <v>0</v>
      </c>
      <c r="K161" t="str">
        <f>"0952739036"</f>
        <v>0</v>
      </c>
      <c r="L161" t="s">
        <v>598</v>
      </c>
      <c r="M161" t="s">
        <v>586</v>
      </c>
      <c r="N161" t="s">
        <v>599</v>
      </c>
      <c r="O161" t="s">
        <v>600</v>
      </c>
      <c r="P161" t="s">
        <v>205</v>
      </c>
      <c r="Q161">
        <v>29</v>
      </c>
    </row>
    <row r="162" spans="1:17">
      <c r="A162">
        <v>160</v>
      </c>
      <c r="B162" t="s">
        <v>32</v>
      </c>
      <c r="C162" t="s">
        <v>601</v>
      </c>
      <c r="D162" t="str">
        <f>"吳雅靜"</f>
        <v>0</v>
      </c>
      <c r="E162" t="s">
        <v>34</v>
      </c>
      <c r="F162" t="s">
        <v>602</v>
      </c>
      <c r="G162">
        <v>1981</v>
      </c>
      <c r="H162">
        <v>3</v>
      </c>
      <c r="I162">
        <v>23</v>
      </c>
      <c r="J162" t="str">
        <f>"07-3531012"</f>
        <v>0</v>
      </c>
      <c r="K162" t="str">
        <f>"0929377301"</f>
        <v>0</v>
      </c>
      <c r="L162" t="s">
        <v>36</v>
      </c>
      <c r="M162" t="s">
        <v>37</v>
      </c>
      <c r="N162" t="s">
        <v>38</v>
      </c>
      <c r="O162" t="s">
        <v>39</v>
      </c>
      <c r="P162" t="s">
        <v>40</v>
      </c>
      <c r="Q162">
        <v>29</v>
      </c>
    </row>
    <row r="163" spans="1:17">
      <c r="A163">
        <v>161</v>
      </c>
      <c r="B163" t="s">
        <v>32</v>
      </c>
      <c r="C163" t="s">
        <v>603</v>
      </c>
      <c r="D163" t="str">
        <f>"吳栩籈"</f>
        <v>0</v>
      </c>
      <c r="E163" t="s">
        <v>34</v>
      </c>
      <c r="F163" t="s">
        <v>604</v>
      </c>
      <c r="G163">
        <v>1987</v>
      </c>
      <c r="H163">
        <v>5</v>
      </c>
      <c r="I163">
        <v>5</v>
      </c>
      <c r="J163" t="str">
        <f>"04-8970770"</f>
        <v>0</v>
      </c>
      <c r="K163" t="str">
        <f>"0958058380"</f>
        <v>0</v>
      </c>
      <c r="L163" t="s">
        <v>605</v>
      </c>
      <c r="M163" t="s">
        <v>151</v>
      </c>
      <c r="N163" t="s">
        <v>606</v>
      </c>
      <c r="O163" t="s">
        <v>607</v>
      </c>
      <c r="P163" t="s">
        <v>25</v>
      </c>
      <c r="Q163">
        <v>29</v>
      </c>
    </row>
    <row r="164" spans="1:17">
      <c r="A164">
        <v>162</v>
      </c>
      <c r="B164" t="s">
        <v>155</v>
      </c>
      <c r="C164" t="s">
        <v>608</v>
      </c>
      <c r="D164" t="str">
        <f>"李純莉"</f>
        <v>0</v>
      </c>
      <c r="E164" t="s">
        <v>34</v>
      </c>
      <c r="F164" t="s">
        <v>609</v>
      </c>
      <c r="G164">
        <v>1982</v>
      </c>
      <c r="H164">
        <v>2</v>
      </c>
      <c r="I164">
        <v>3</v>
      </c>
      <c r="J164" t="str">
        <f>"07-3490826"</f>
        <v>0</v>
      </c>
      <c r="K164" t="str">
        <f>"0925090300"</f>
        <v>0</v>
      </c>
      <c r="L164" t="s">
        <v>610</v>
      </c>
      <c r="M164" t="s">
        <v>37</v>
      </c>
      <c r="N164" t="s">
        <v>304</v>
      </c>
      <c r="O164" t="s">
        <v>611</v>
      </c>
      <c r="P164" t="s">
        <v>25</v>
      </c>
      <c r="Q164">
        <v>260</v>
      </c>
    </row>
    <row r="165" spans="1:17">
      <c r="A165">
        <v>163</v>
      </c>
      <c r="B165" t="s">
        <v>356</v>
      </c>
      <c r="C165" t="s">
        <v>612</v>
      </c>
      <c r="D165" t="str">
        <f>"李純莉"</f>
        <v>0</v>
      </c>
      <c r="E165" t="s">
        <v>34</v>
      </c>
      <c r="F165" t="s">
        <v>609</v>
      </c>
      <c r="G165">
        <v>1982</v>
      </c>
      <c r="H165">
        <v>2</v>
      </c>
      <c r="I165">
        <v>3</v>
      </c>
      <c r="J165" t="str">
        <f>"07-3490826"</f>
        <v>0</v>
      </c>
      <c r="K165" t="str">
        <f>"0925090300"</f>
        <v>0</v>
      </c>
      <c r="L165" t="s">
        <v>610</v>
      </c>
      <c r="M165" t="s">
        <v>37</v>
      </c>
      <c r="N165" t="s">
        <v>304</v>
      </c>
      <c r="O165" t="s">
        <v>611</v>
      </c>
      <c r="P165" t="s">
        <v>25</v>
      </c>
      <c r="Q165">
        <v>68</v>
      </c>
    </row>
    <row r="166" spans="1:17">
      <c r="A166">
        <v>164</v>
      </c>
      <c r="B166" t="s">
        <v>48</v>
      </c>
      <c r="C166" t="s">
        <v>613</v>
      </c>
      <c r="D166" t="str">
        <f>"李玉文"</f>
        <v>0</v>
      </c>
      <c r="E166" t="s">
        <v>34</v>
      </c>
      <c r="F166" t="s">
        <v>614</v>
      </c>
      <c r="G166">
        <v>1976</v>
      </c>
      <c r="H166">
        <v>9</v>
      </c>
      <c r="I166">
        <v>2</v>
      </c>
      <c r="J166" t="str">
        <f>"0920-712637"</f>
        <v>0</v>
      </c>
      <c r="K166" t="str">
        <f>"0920712637"</f>
        <v>0</v>
      </c>
      <c r="L166" t="s">
        <v>615</v>
      </c>
      <c r="M166" t="s">
        <v>586</v>
      </c>
      <c r="N166" t="s">
        <v>616</v>
      </c>
      <c r="O166" t="s">
        <v>617</v>
      </c>
      <c r="P166" t="s">
        <v>205</v>
      </c>
      <c r="Q166">
        <v>29</v>
      </c>
    </row>
    <row r="167" spans="1:17">
      <c r="A167">
        <v>165</v>
      </c>
      <c r="B167" t="s">
        <v>245</v>
      </c>
      <c r="C167" t="s">
        <v>618</v>
      </c>
      <c r="D167" t="str">
        <f>"吳龍淵"</f>
        <v>0</v>
      </c>
      <c r="E167" t="s">
        <v>19</v>
      </c>
      <c r="F167" t="s">
        <v>619</v>
      </c>
      <c r="G167">
        <v>1977</v>
      </c>
      <c r="H167">
        <v>7</v>
      </c>
      <c r="I167">
        <v>9</v>
      </c>
      <c r="J167" t="str">
        <f>"02-22265493"</f>
        <v>0</v>
      </c>
      <c r="K167" t="str">
        <f>"0931114546"</f>
        <v>0</v>
      </c>
      <c r="L167" t="s">
        <v>432</v>
      </c>
      <c r="M167" t="s">
        <v>29</v>
      </c>
      <c r="N167" t="s">
        <v>387</v>
      </c>
      <c r="O167" t="s">
        <v>433</v>
      </c>
      <c r="P167" t="s">
        <v>25</v>
      </c>
      <c r="Q167">
        <v>29</v>
      </c>
    </row>
    <row r="168" spans="1:17">
      <c r="A168">
        <v>166</v>
      </c>
      <c r="B168" t="s">
        <v>17</v>
      </c>
      <c r="C168" t="s">
        <v>620</v>
      </c>
      <c r="D168" t="str">
        <f>"施妙慧"</f>
        <v>0</v>
      </c>
      <c r="E168" t="s">
        <v>34</v>
      </c>
      <c r="F168" t="s">
        <v>280</v>
      </c>
      <c r="G168">
        <v>1968</v>
      </c>
      <c r="H168">
        <v>12</v>
      </c>
      <c r="I168">
        <v>13</v>
      </c>
      <c r="J168" t="str">
        <f>"02-29552765"</f>
        <v>0</v>
      </c>
      <c r="K168" t="str">
        <f>"0916558136"</f>
        <v>0</v>
      </c>
      <c r="L168" t="s">
        <v>281</v>
      </c>
      <c r="M168" t="s">
        <v>29</v>
      </c>
      <c r="N168" t="s">
        <v>164</v>
      </c>
      <c r="O168" t="s">
        <v>282</v>
      </c>
      <c r="P168" t="s">
        <v>25</v>
      </c>
      <c r="Q168">
        <v>29</v>
      </c>
    </row>
    <row r="169" spans="1:17">
      <c r="A169">
        <v>167</v>
      </c>
      <c r="B169" t="s">
        <v>193</v>
      </c>
      <c r="C169" t="s">
        <v>621</v>
      </c>
      <c r="D169" t="str">
        <f>"郭育萍 "</f>
        <v>0</v>
      </c>
      <c r="E169" t="s">
        <v>34</v>
      </c>
      <c r="F169" t="s">
        <v>622</v>
      </c>
      <c r="G169">
        <v>1989</v>
      </c>
      <c r="H169">
        <v>3</v>
      </c>
      <c r="I169">
        <v>27</v>
      </c>
      <c r="J169" t="str">
        <f>"07-6622718"</f>
        <v>0</v>
      </c>
      <c r="K169" t="str">
        <f>"0980354718"</f>
        <v>0</v>
      </c>
      <c r="L169" t="s">
        <v>623</v>
      </c>
      <c r="M169" t="s">
        <v>37</v>
      </c>
      <c r="N169" t="s">
        <v>624</v>
      </c>
      <c r="O169" t="s">
        <v>625</v>
      </c>
      <c r="P169" t="s">
        <v>25</v>
      </c>
      <c r="Q169">
        <v>49</v>
      </c>
    </row>
    <row r="170" spans="1:17">
      <c r="A170">
        <v>168</v>
      </c>
      <c r="B170" t="s">
        <v>193</v>
      </c>
      <c r="C170" t="s">
        <v>626</v>
      </c>
      <c r="D170" t="str">
        <f>"郭育萍 "</f>
        <v>0</v>
      </c>
      <c r="E170" t="s">
        <v>34</v>
      </c>
      <c r="F170" t="s">
        <v>622</v>
      </c>
      <c r="G170">
        <v>1989</v>
      </c>
      <c r="H170">
        <v>3</v>
      </c>
      <c r="I170">
        <v>27</v>
      </c>
      <c r="J170" t="str">
        <f>"07-6622718"</f>
        <v>0</v>
      </c>
      <c r="K170" t="str">
        <f>"0980354718"</f>
        <v>0</v>
      </c>
      <c r="L170" t="s">
        <v>623</v>
      </c>
      <c r="M170" t="s">
        <v>37</v>
      </c>
      <c r="N170" t="s">
        <v>624</v>
      </c>
      <c r="O170" t="s">
        <v>625</v>
      </c>
      <c r="P170" t="s">
        <v>25</v>
      </c>
      <c r="Q170">
        <v>49</v>
      </c>
    </row>
    <row r="171" spans="1:17">
      <c r="A171">
        <v>169</v>
      </c>
      <c r="B171" t="s">
        <v>193</v>
      </c>
      <c r="C171" t="s">
        <v>627</v>
      </c>
      <c r="D171" t="str">
        <f>"郭育萍"</f>
        <v>0</v>
      </c>
      <c r="E171" t="s">
        <v>34</v>
      </c>
      <c r="F171" t="s">
        <v>622</v>
      </c>
      <c r="G171">
        <v>1989</v>
      </c>
      <c r="H171">
        <v>3</v>
      </c>
      <c r="I171">
        <v>27</v>
      </c>
      <c r="J171" t="str">
        <f>"07-6622718"</f>
        <v>0</v>
      </c>
      <c r="K171" t="str">
        <f>"0980354718"</f>
        <v>0</v>
      </c>
      <c r="L171" t="s">
        <v>623</v>
      </c>
      <c r="M171" t="s">
        <v>37</v>
      </c>
      <c r="N171" t="s">
        <v>624</v>
      </c>
      <c r="O171" t="s">
        <v>625</v>
      </c>
      <c r="P171" t="s">
        <v>25</v>
      </c>
      <c r="Q171">
        <v>98</v>
      </c>
    </row>
    <row r="172" spans="1:17">
      <c r="A172">
        <v>170</v>
      </c>
      <c r="B172" t="s">
        <v>48</v>
      </c>
      <c r="C172" t="s">
        <v>628</v>
      </c>
      <c r="D172" t="str">
        <f>"蔡依璇"</f>
        <v>0</v>
      </c>
      <c r="E172" t="s">
        <v>34</v>
      </c>
      <c r="F172" t="s">
        <v>629</v>
      </c>
      <c r="G172">
        <v>1979</v>
      </c>
      <c r="H172">
        <v>5</v>
      </c>
      <c r="I172">
        <v>22</v>
      </c>
      <c r="J172" t="str">
        <f>"0920-303980"</f>
        <v>0</v>
      </c>
      <c r="K172" t="str">
        <f>"0920303980"</f>
        <v>0</v>
      </c>
      <c r="L172" t="s">
        <v>630</v>
      </c>
      <c r="M172" t="s">
        <v>63</v>
      </c>
      <c r="N172" t="s">
        <v>159</v>
      </c>
      <c r="O172" t="s">
        <v>631</v>
      </c>
      <c r="P172" t="s">
        <v>66</v>
      </c>
      <c r="Q172">
        <v>29</v>
      </c>
    </row>
    <row r="173" spans="1:17">
      <c r="A173">
        <v>171</v>
      </c>
      <c r="B173" t="s">
        <v>32</v>
      </c>
      <c r="C173" t="s">
        <v>632</v>
      </c>
      <c r="D173" t="str">
        <f>"莊鳳郡"</f>
        <v>0</v>
      </c>
      <c r="E173" t="s">
        <v>34</v>
      </c>
      <c r="F173" t="s">
        <v>56</v>
      </c>
      <c r="G173">
        <v>1974</v>
      </c>
      <c r="H173">
        <v>3</v>
      </c>
      <c r="I173">
        <v>14</v>
      </c>
      <c r="J173" t="str">
        <f>"0929-650060"</f>
        <v>0</v>
      </c>
      <c r="K173" t="str">
        <f>"0929650060"</f>
        <v>0</v>
      </c>
      <c r="L173" t="s">
        <v>57</v>
      </c>
      <c r="M173" t="s">
        <v>37</v>
      </c>
      <c r="N173" t="s">
        <v>58</v>
      </c>
      <c r="O173" t="s">
        <v>59</v>
      </c>
      <c r="P173" t="s">
        <v>40</v>
      </c>
      <c r="Q173">
        <v>29</v>
      </c>
    </row>
    <row r="174" spans="1:17">
      <c r="A174">
        <v>172</v>
      </c>
      <c r="B174" t="s">
        <v>32</v>
      </c>
      <c r="C174" t="s">
        <v>633</v>
      </c>
      <c r="D174" t="str">
        <f>"葉怡靜"</f>
        <v>0</v>
      </c>
      <c r="E174" t="s">
        <v>34</v>
      </c>
      <c r="F174" t="s">
        <v>634</v>
      </c>
      <c r="G174">
        <v>1978</v>
      </c>
      <c r="H174">
        <v>11</v>
      </c>
      <c r="I174">
        <v>4</v>
      </c>
      <c r="J174" t="str">
        <f>"02-28942320"</f>
        <v>0</v>
      </c>
      <c r="K174" t="str">
        <f>"0939715987"</f>
        <v>0</v>
      </c>
      <c r="L174" t="s">
        <v>635</v>
      </c>
      <c r="M174" t="s">
        <v>63</v>
      </c>
      <c r="N174" t="s">
        <v>636</v>
      </c>
      <c r="O174" t="s">
        <v>637</v>
      </c>
      <c r="P174" t="s">
        <v>25</v>
      </c>
      <c r="Q174">
        <v>29</v>
      </c>
    </row>
    <row r="175" spans="1:17">
      <c r="A175">
        <v>173</v>
      </c>
      <c r="B175" t="s">
        <v>48</v>
      </c>
      <c r="C175" t="s">
        <v>638</v>
      </c>
      <c r="D175" t="str">
        <f>"何月裡"</f>
        <v>0</v>
      </c>
      <c r="E175" t="s">
        <v>34</v>
      </c>
      <c r="F175" t="s">
        <v>639</v>
      </c>
      <c r="G175">
        <v>1955</v>
      </c>
      <c r="H175">
        <v>2</v>
      </c>
      <c r="I175">
        <v>8</v>
      </c>
      <c r="J175" t="str">
        <f>"04-26358505"</f>
        <v>0</v>
      </c>
      <c r="K175" t="str">
        <f>"0972385813"</f>
        <v>0</v>
      </c>
      <c r="L175" t="s">
        <v>640</v>
      </c>
      <c r="M175" t="s">
        <v>22</v>
      </c>
      <c r="N175" t="s">
        <v>641</v>
      </c>
      <c r="O175" t="s">
        <v>642</v>
      </c>
      <c r="P175" t="s">
        <v>66</v>
      </c>
      <c r="Q175">
        <v>29</v>
      </c>
    </row>
    <row r="176" spans="1:17">
      <c r="A176">
        <v>174</v>
      </c>
      <c r="B176" t="s">
        <v>48</v>
      </c>
      <c r="C176" t="s">
        <v>643</v>
      </c>
      <c r="D176" t="str">
        <f>"林筱琪"</f>
        <v>0</v>
      </c>
      <c r="E176" t="s">
        <v>34</v>
      </c>
      <c r="F176" t="s">
        <v>644</v>
      </c>
      <c r="G176">
        <v>1982</v>
      </c>
      <c r="H176">
        <v>4</v>
      </c>
      <c r="I176">
        <v>11</v>
      </c>
      <c r="J176" t="str">
        <f>"04-26358505"</f>
        <v>0</v>
      </c>
      <c r="K176" t="str">
        <f>"0972385813"</f>
        <v>0</v>
      </c>
      <c r="L176" t="s">
        <v>640</v>
      </c>
      <c r="M176" t="s">
        <v>22</v>
      </c>
      <c r="N176" t="s">
        <v>641</v>
      </c>
      <c r="O176" t="s">
        <v>642</v>
      </c>
      <c r="P176" t="s">
        <v>66</v>
      </c>
      <c r="Q176">
        <v>29</v>
      </c>
    </row>
    <row r="177" spans="1:17">
      <c r="A177">
        <v>175</v>
      </c>
      <c r="B177" t="s">
        <v>32</v>
      </c>
      <c r="C177" t="s">
        <v>645</v>
      </c>
      <c r="D177" t="str">
        <f>"樊馨婷"</f>
        <v>0</v>
      </c>
      <c r="E177" t="s">
        <v>34</v>
      </c>
      <c r="F177" t="s">
        <v>646</v>
      </c>
      <c r="G177">
        <v>1998</v>
      </c>
      <c r="H177">
        <v>10</v>
      </c>
      <c r="I177">
        <v>29</v>
      </c>
      <c r="J177" t="str">
        <f>"03-4522558"</f>
        <v>0</v>
      </c>
      <c r="K177" t="str">
        <f>"0987635502"</f>
        <v>0</v>
      </c>
      <c r="L177" t="s">
        <v>330</v>
      </c>
      <c r="M177" t="s">
        <v>72</v>
      </c>
      <c r="N177" t="s">
        <v>331</v>
      </c>
      <c r="O177" t="s">
        <v>647</v>
      </c>
      <c r="P177" t="s">
        <v>205</v>
      </c>
      <c r="Q177">
        <v>29</v>
      </c>
    </row>
    <row r="178" spans="1:17">
      <c r="A178">
        <v>176</v>
      </c>
      <c r="B178" t="s">
        <v>48</v>
      </c>
      <c r="C178" t="s">
        <v>648</v>
      </c>
      <c r="D178" t="str">
        <f>"汪澤生"</f>
        <v>0</v>
      </c>
      <c r="E178" t="s">
        <v>19</v>
      </c>
      <c r="F178" t="s">
        <v>649</v>
      </c>
      <c r="G178">
        <v>1968</v>
      </c>
      <c r="H178">
        <v>6</v>
      </c>
      <c r="I178">
        <v>15</v>
      </c>
      <c r="J178" t="str">
        <f>"03-9389351"</f>
        <v>0</v>
      </c>
      <c r="K178" t="str">
        <f>"0933985022"</f>
        <v>0</v>
      </c>
      <c r="L178" t="s">
        <v>650</v>
      </c>
      <c r="M178" t="s">
        <v>651</v>
      </c>
      <c r="N178" t="s">
        <v>652</v>
      </c>
      <c r="O178" t="s">
        <v>653</v>
      </c>
      <c r="P178" t="s">
        <v>91</v>
      </c>
      <c r="Q178">
        <v>29</v>
      </c>
    </row>
    <row r="179" spans="1:17">
      <c r="A179">
        <v>177</v>
      </c>
      <c r="B179" t="s">
        <v>17</v>
      </c>
      <c r="C179" t="s">
        <v>654</v>
      </c>
      <c r="D179" t="str">
        <f>"鄭惠玲"</f>
        <v>0</v>
      </c>
      <c r="E179" t="s">
        <v>34</v>
      </c>
      <c r="F179" t="s">
        <v>655</v>
      </c>
      <c r="G179">
        <v>1970</v>
      </c>
      <c r="H179">
        <v>6</v>
      </c>
      <c r="I179">
        <v>15</v>
      </c>
      <c r="J179" t="str">
        <f>"03-9389351"</f>
        <v>0</v>
      </c>
      <c r="K179" t="str">
        <f>"0933985022"</f>
        <v>0</v>
      </c>
      <c r="L179" t="s">
        <v>656</v>
      </c>
      <c r="M179" t="s">
        <v>651</v>
      </c>
      <c r="N179" t="s">
        <v>652</v>
      </c>
      <c r="O179" t="s">
        <v>653</v>
      </c>
      <c r="P179" t="s">
        <v>91</v>
      </c>
      <c r="Q179">
        <v>29</v>
      </c>
    </row>
    <row r="180" spans="1:17">
      <c r="A180">
        <v>178</v>
      </c>
      <c r="B180" t="s">
        <v>245</v>
      </c>
      <c r="C180" t="s">
        <v>657</v>
      </c>
      <c r="D180" t="str">
        <f>"楊慧美"</f>
        <v>0</v>
      </c>
      <c r="E180" t="s">
        <v>34</v>
      </c>
      <c r="F180" t="s">
        <v>658</v>
      </c>
      <c r="G180">
        <v>1968</v>
      </c>
      <c r="H180">
        <v>3</v>
      </c>
      <c r="I180">
        <v>26</v>
      </c>
      <c r="J180" t="str">
        <f>"049-2984883"</f>
        <v>0</v>
      </c>
      <c r="K180" t="str">
        <f>"0937205501"</f>
        <v>0</v>
      </c>
      <c r="L180" t="s">
        <v>659</v>
      </c>
      <c r="M180" t="s">
        <v>216</v>
      </c>
      <c r="N180" t="s">
        <v>660</v>
      </c>
      <c r="O180" t="s">
        <v>661</v>
      </c>
      <c r="P180" t="s">
        <v>91</v>
      </c>
      <c r="Q180">
        <v>29</v>
      </c>
    </row>
    <row r="181" spans="1:17">
      <c r="A181">
        <v>179</v>
      </c>
      <c r="B181" t="s">
        <v>155</v>
      </c>
      <c r="C181" t="s">
        <v>662</v>
      </c>
      <c r="D181" t="str">
        <f>"鍾順益"</f>
        <v>0</v>
      </c>
      <c r="E181" t="s">
        <v>19</v>
      </c>
      <c r="F181" t="s">
        <v>663</v>
      </c>
      <c r="G181">
        <v>1959</v>
      </c>
      <c r="H181">
        <v>1</v>
      </c>
      <c r="I181">
        <v>20</v>
      </c>
      <c r="J181" t="str">
        <f>"02-24238707"</f>
        <v>0</v>
      </c>
      <c r="K181" t="str">
        <f>"0920183935"</f>
        <v>0</v>
      </c>
      <c r="L181" t="s">
        <v>664</v>
      </c>
      <c r="M181" t="s">
        <v>366</v>
      </c>
      <c r="N181" t="s">
        <v>367</v>
      </c>
      <c r="O181" t="s">
        <v>665</v>
      </c>
      <c r="P181" t="s">
        <v>25</v>
      </c>
      <c r="Q181">
        <v>65</v>
      </c>
    </row>
    <row r="182" spans="1:17">
      <c r="A182">
        <v>180</v>
      </c>
      <c r="B182" t="s">
        <v>199</v>
      </c>
      <c r="C182" t="s">
        <v>666</v>
      </c>
      <c r="D182" t="str">
        <f>"玉妃 廖"</f>
        <v>0</v>
      </c>
      <c r="E182" t="s">
        <v>34</v>
      </c>
      <c r="F182" t="s">
        <v>667</v>
      </c>
      <c r="G182">
        <v>1980</v>
      </c>
      <c r="H182">
        <v>3</v>
      </c>
      <c r="I182">
        <v>14</v>
      </c>
      <c r="J182" t="str">
        <f>"02-29651146"</f>
        <v>0</v>
      </c>
      <c r="K182" t="str">
        <f>"0989816453"</f>
        <v>0</v>
      </c>
      <c r="L182" t="s">
        <v>668</v>
      </c>
      <c r="M182" t="s">
        <v>29</v>
      </c>
      <c r="N182" t="s">
        <v>164</v>
      </c>
      <c r="O182" t="s">
        <v>669</v>
      </c>
      <c r="P182" t="s">
        <v>25</v>
      </c>
      <c r="Q182">
        <v>69</v>
      </c>
    </row>
    <row r="183" spans="1:17">
      <c r="A183">
        <v>181</v>
      </c>
      <c r="B183" t="s">
        <v>228</v>
      </c>
      <c r="C183" t="s">
        <v>670</v>
      </c>
      <c r="D183" t="str">
        <f>"王玉玲"</f>
        <v>0</v>
      </c>
      <c r="E183" t="s">
        <v>34</v>
      </c>
      <c r="F183" t="s">
        <v>671</v>
      </c>
      <c r="G183">
        <v>1965</v>
      </c>
      <c r="H183">
        <v>6</v>
      </c>
      <c r="I183">
        <v>9</v>
      </c>
      <c r="J183" t="str">
        <f>"04-22916457"</f>
        <v>0</v>
      </c>
      <c r="K183" t="str">
        <f>"0988799545"</f>
        <v>0</v>
      </c>
      <c r="L183" t="s">
        <v>672</v>
      </c>
      <c r="M183" t="s">
        <v>22</v>
      </c>
      <c r="N183" t="s">
        <v>179</v>
      </c>
      <c r="O183" t="s">
        <v>673</v>
      </c>
      <c r="P183" t="s">
        <v>25</v>
      </c>
      <c r="Q183">
        <v>68</v>
      </c>
    </row>
    <row r="184" spans="1:17">
      <c r="A184">
        <v>182</v>
      </c>
      <c r="B184" t="s">
        <v>199</v>
      </c>
      <c r="C184" t="s">
        <v>674</v>
      </c>
      <c r="D184" t="str">
        <f>"陳鎮崑"</f>
        <v>0</v>
      </c>
      <c r="E184" t="s">
        <v>19</v>
      </c>
      <c r="F184" t="s">
        <v>675</v>
      </c>
      <c r="G184">
        <v>1977</v>
      </c>
      <c r="H184">
        <v>7</v>
      </c>
      <c r="I184">
        <v>3</v>
      </c>
      <c r="J184" t="str">
        <f>"04-26314714"</f>
        <v>0</v>
      </c>
      <c r="K184" t="str">
        <f>"0988735875"</f>
        <v>0</v>
      </c>
      <c r="L184" t="s">
        <v>676</v>
      </c>
      <c r="M184" t="s">
        <v>22</v>
      </c>
      <c r="N184" t="s">
        <v>126</v>
      </c>
      <c r="O184" t="s">
        <v>677</v>
      </c>
      <c r="P184" t="s">
        <v>40</v>
      </c>
      <c r="Q184">
        <v>69</v>
      </c>
    </row>
    <row r="185" spans="1:17">
      <c r="A185">
        <v>183</v>
      </c>
      <c r="B185" t="s">
        <v>48</v>
      </c>
      <c r="C185" t="s">
        <v>678</v>
      </c>
      <c r="D185" t="str">
        <f>"陳俊元"</f>
        <v>0</v>
      </c>
      <c r="E185" t="s">
        <v>19</v>
      </c>
      <c r="F185" t="s">
        <v>401</v>
      </c>
      <c r="G185">
        <v>1981</v>
      </c>
      <c r="H185">
        <v>1</v>
      </c>
      <c r="I185">
        <v>13</v>
      </c>
      <c r="J185" t="str">
        <f>"04-24078597"</f>
        <v>0</v>
      </c>
      <c r="K185" t="str">
        <f>"0931889869"</f>
        <v>0</v>
      </c>
      <c r="L185" t="s">
        <v>402</v>
      </c>
      <c r="M185" t="s">
        <v>22</v>
      </c>
      <c r="N185" t="s">
        <v>203</v>
      </c>
      <c r="O185" t="s">
        <v>403</v>
      </c>
      <c r="P185" t="s">
        <v>40</v>
      </c>
      <c r="Q185">
        <v>29</v>
      </c>
    </row>
    <row r="186" spans="1:17">
      <c r="A186">
        <v>184</v>
      </c>
      <c r="B186" t="s">
        <v>356</v>
      </c>
      <c r="C186" t="s">
        <v>679</v>
      </c>
      <c r="D186" t="str">
        <f>"吳龍川"</f>
        <v>0</v>
      </c>
      <c r="E186" t="s">
        <v>34</v>
      </c>
      <c r="F186" t="s">
        <v>680</v>
      </c>
      <c r="G186">
        <v>1980</v>
      </c>
      <c r="H186">
        <v>5</v>
      </c>
      <c r="I186">
        <v>3</v>
      </c>
      <c r="J186" t="str">
        <f>"02-22265493"</f>
        <v>0</v>
      </c>
      <c r="K186" t="str">
        <f>"0931114546"</f>
        <v>0</v>
      </c>
      <c r="L186" t="s">
        <v>432</v>
      </c>
      <c r="M186" t="s">
        <v>29</v>
      </c>
      <c r="N186" t="s">
        <v>387</v>
      </c>
      <c r="O186" t="s">
        <v>433</v>
      </c>
      <c r="P186" t="s">
        <v>295</v>
      </c>
      <c r="Q186">
        <v>68</v>
      </c>
    </row>
    <row r="187" spans="1:17">
      <c r="A187">
        <v>185</v>
      </c>
      <c r="B187" t="s">
        <v>245</v>
      </c>
      <c r="C187" t="s">
        <v>681</v>
      </c>
      <c r="D187" t="str">
        <f>"吳莛枋"</f>
        <v>0</v>
      </c>
      <c r="E187" t="s">
        <v>34</v>
      </c>
      <c r="F187" t="s">
        <v>431</v>
      </c>
      <c r="G187">
        <v>1978</v>
      </c>
      <c r="H187">
        <v>7</v>
      </c>
      <c r="I187">
        <v>9</v>
      </c>
      <c r="J187" t="str">
        <f>"02-22265493"</f>
        <v>0</v>
      </c>
      <c r="K187" t="str">
        <f>"0931114546"</f>
        <v>0</v>
      </c>
      <c r="L187" t="s">
        <v>432</v>
      </c>
      <c r="M187" t="s">
        <v>29</v>
      </c>
      <c r="N187" t="s">
        <v>387</v>
      </c>
      <c r="O187" t="s">
        <v>433</v>
      </c>
      <c r="P187" t="s">
        <v>682</v>
      </c>
      <c r="Q187">
        <v>29</v>
      </c>
    </row>
    <row r="188" spans="1:17">
      <c r="A188">
        <v>186</v>
      </c>
      <c r="B188" t="s">
        <v>48</v>
      </c>
      <c r="C188" t="s">
        <v>683</v>
      </c>
      <c r="D188" t="str">
        <f>"楊家承 "</f>
        <v>0</v>
      </c>
      <c r="E188" t="s">
        <v>19</v>
      </c>
      <c r="F188" t="s">
        <v>684</v>
      </c>
      <c r="G188">
        <v>1982</v>
      </c>
      <c r="H188">
        <v>11</v>
      </c>
      <c r="I188">
        <v>18</v>
      </c>
      <c r="J188" t="str">
        <f>"06-5762566"</f>
        <v>0</v>
      </c>
      <c r="K188" t="str">
        <f>"0958700721"</f>
        <v>0</v>
      </c>
      <c r="L188" t="s">
        <v>685</v>
      </c>
      <c r="M188" t="s">
        <v>360</v>
      </c>
      <c r="N188" t="s">
        <v>686</v>
      </c>
      <c r="O188" t="s">
        <v>687</v>
      </c>
      <c r="P188" t="s">
        <v>91</v>
      </c>
      <c r="Q188">
        <v>29</v>
      </c>
    </row>
    <row r="189" spans="1:17">
      <c r="A189">
        <v>187</v>
      </c>
      <c r="B189" t="s">
        <v>48</v>
      </c>
      <c r="C189" t="s">
        <v>688</v>
      </c>
      <c r="D189" t="str">
        <f>"黃珮慈"</f>
        <v>0</v>
      </c>
      <c r="E189" t="s">
        <v>34</v>
      </c>
      <c r="F189" t="s">
        <v>584</v>
      </c>
      <c r="G189">
        <v>1982</v>
      </c>
      <c r="H189">
        <v>12</v>
      </c>
      <c r="I189">
        <v>30</v>
      </c>
      <c r="J189" t="str">
        <f>"05-5872767"</f>
        <v>0</v>
      </c>
      <c r="K189" t="str">
        <f>"0988326830"</f>
        <v>0</v>
      </c>
      <c r="L189" t="s">
        <v>585</v>
      </c>
      <c r="M189" t="s">
        <v>586</v>
      </c>
      <c r="N189" t="s">
        <v>587</v>
      </c>
      <c r="O189" t="s">
        <v>689</v>
      </c>
      <c r="P189" t="s">
        <v>25</v>
      </c>
      <c r="Q189">
        <v>29</v>
      </c>
    </row>
    <row r="190" spans="1:17">
      <c r="A190">
        <v>188</v>
      </c>
      <c r="B190" t="s">
        <v>48</v>
      </c>
      <c r="C190" t="s">
        <v>690</v>
      </c>
      <c r="D190" t="str">
        <f>"鄭聖洳"</f>
        <v>0</v>
      </c>
      <c r="E190" t="s">
        <v>34</v>
      </c>
      <c r="F190" t="s">
        <v>691</v>
      </c>
      <c r="G190">
        <v>1979</v>
      </c>
      <c r="H190">
        <v>10</v>
      </c>
      <c r="I190">
        <v>22</v>
      </c>
      <c r="J190" t="str">
        <f>"02-22765901"</f>
        <v>0</v>
      </c>
      <c r="K190" t="str">
        <f>"0921068636"</f>
        <v>0</v>
      </c>
      <c r="L190" t="s">
        <v>692</v>
      </c>
      <c r="M190" t="s">
        <v>29</v>
      </c>
      <c r="N190" t="s">
        <v>30</v>
      </c>
      <c r="O190" t="s">
        <v>693</v>
      </c>
      <c r="P190" t="s">
        <v>25</v>
      </c>
      <c r="Q190">
        <v>29</v>
      </c>
    </row>
    <row r="191" spans="1:17">
      <c r="A191">
        <v>189</v>
      </c>
      <c r="B191" t="s">
        <v>48</v>
      </c>
      <c r="C191" t="s">
        <v>694</v>
      </c>
      <c r="D191" t="str">
        <f>"邱慧珊"</f>
        <v>0</v>
      </c>
      <c r="E191" t="s">
        <v>34</v>
      </c>
      <c r="F191" t="s">
        <v>412</v>
      </c>
      <c r="G191">
        <v>1980</v>
      </c>
      <c r="H191">
        <v>5</v>
      </c>
      <c r="I191">
        <v>3</v>
      </c>
      <c r="J191" t="str">
        <f>"0955-775989"</f>
        <v>0</v>
      </c>
      <c r="K191" t="str">
        <f>"0955775989"</f>
        <v>0</v>
      </c>
      <c r="L191" t="s">
        <v>413</v>
      </c>
      <c r="M191" t="s">
        <v>151</v>
      </c>
      <c r="N191" t="s">
        <v>152</v>
      </c>
      <c r="O191" t="s">
        <v>414</v>
      </c>
      <c r="P191" t="s">
        <v>25</v>
      </c>
      <c r="Q191">
        <v>29</v>
      </c>
    </row>
    <row r="192" spans="1:17">
      <c r="A192">
        <v>190</v>
      </c>
      <c r="B192" t="s">
        <v>48</v>
      </c>
      <c r="C192" t="s">
        <v>695</v>
      </c>
      <c r="D192" t="str">
        <f>"邱慧珊"</f>
        <v>0</v>
      </c>
      <c r="E192" t="s">
        <v>34</v>
      </c>
      <c r="F192" t="s">
        <v>412</v>
      </c>
      <c r="G192">
        <v>1980</v>
      </c>
      <c r="H192">
        <v>5</v>
      </c>
      <c r="I192">
        <v>3</v>
      </c>
      <c r="J192" t="str">
        <f>"0955-775989"</f>
        <v>0</v>
      </c>
      <c r="K192" t="str">
        <f>"0955775989"</f>
        <v>0</v>
      </c>
      <c r="L192" t="s">
        <v>413</v>
      </c>
      <c r="M192" t="s">
        <v>151</v>
      </c>
      <c r="N192" t="s">
        <v>152</v>
      </c>
      <c r="O192" t="s">
        <v>414</v>
      </c>
      <c r="P192" t="s">
        <v>25</v>
      </c>
      <c r="Q192">
        <v>29</v>
      </c>
    </row>
    <row r="193" spans="1:17">
      <c r="A193">
        <v>191</v>
      </c>
      <c r="B193" t="s">
        <v>48</v>
      </c>
      <c r="C193" t="s">
        <v>696</v>
      </c>
      <c r="D193" t="str">
        <f>"邱慧珊"</f>
        <v>0</v>
      </c>
      <c r="E193" t="s">
        <v>34</v>
      </c>
      <c r="F193" t="s">
        <v>412</v>
      </c>
      <c r="G193">
        <v>1980</v>
      </c>
      <c r="H193">
        <v>5</v>
      </c>
      <c r="I193">
        <v>3</v>
      </c>
      <c r="J193" t="str">
        <f>"0955-775989"</f>
        <v>0</v>
      </c>
      <c r="K193" t="str">
        <f>"0955775989"</f>
        <v>0</v>
      </c>
      <c r="L193" t="s">
        <v>413</v>
      </c>
      <c r="M193" t="s">
        <v>151</v>
      </c>
      <c r="N193" t="s">
        <v>152</v>
      </c>
      <c r="O193" t="s">
        <v>414</v>
      </c>
      <c r="P193" t="s">
        <v>25</v>
      </c>
      <c r="Q193">
        <v>29</v>
      </c>
    </row>
    <row r="194" spans="1:17">
      <c r="A194">
        <v>192</v>
      </c>
      <c r="B194" t="s">
        <v>48</v>
      </c>
      <c r="C194" t="s">
        <v>697</v>
      </c>
      <c r="D194" t="str">
        <f>"邱慧珊"</f>
        <v>0</v>
      </c>
      <c r="E194" t="s">
        <v>34</v>
      </c>
      <c r="F194" t="s">
        <v>412</v>
      </c>
      <c r="G194">
        <v>1980</v>
      </c>
      <c r="H194">
        <v>5</v>
      </c>
      <c r="I194">
        <v>3</v>
      </c>
      <c r="J194" t="str">
        <f>"0955-775989"</f>
        <v>0</v>
      </c>
      <c r="K194" t="str">
        <f>"0955775989"</f>
        <v>0</v>
      </c>
      <c r="L194" t="s">
        <v>413</v>
      </c>
      <c r="M194" t="s">
        <v>151</v>
      </c>
      <c r="N194" t="s">
        <v>152</v>
      </c>
      <c r="O194" t="s">
        <v>414</v>
      </c>
      <c r="P194" t="s">
        <v>25</v>
      </c>
      <c r="Q194">
        <v>29</v>
      </c>
    </row>
    <row r="195" spans="1:17">
      <c r="A195">
        <v>193</v>
      </c>
      <c r="B195" t="s">
        <v>356</v>
      </c>
      <c r="C195" t="s">
        <v>698</v>
      </c>
      <c r="D195" t="str">
        <f>"張麗華"</f>
        <v>0</v>
      </c>
      <c r="E195" t="s">
        <v>34</v>
      </c>
      <c r="F195" t="s">
        <v>699</v>
      </c>
      <c r="G195">
        <v>1969</v>
      </c>
      <c r="H195">
        <v>10</v>
      </c>
      <c r="I195">
        <v>31</v>
      </c>
      <c r="J195" t="str">
        <f>"02-26222116"</f>
        <v>0</v>
      </c>
      <c r="K195" t="str">
        <f>"0936749768"</f>
        <v>0</v>
      </c>
      <c r="L195" t="s">
        <v>700</v>
      </c>
      <c r="M195" t="s">
        <v>29</v>
      </c>
      <c r="N195" t="s">
        <v>423</v>
      </c>
      <c r="O195" t="s">
        <v>701</v>
      </c>
      <c r="P195" t="s">
        <v>702</v>
      </c>
      <c r="Q195">
        <v>136</v>
      </c>
    </row>
    <row r="196" spans="1:17">
      <c r="A196">
        <v>194</v>
      </c>
      <c r="B196" t="s">
        <v>155</v>
      </c>
      <c r="C196" t="s">
        <v>703</v>
      </c>
      <c r="D196" t="str">
        <f>"劉益廷"</f>
        <v>0</v>
      </c>
      <c r="E196" t="s">
        <v>34</v>
      </c>
      <c r="F196" t="s">
        <v>704</v>
      </c>
      <c r="G196">
        <v>1982</v>
      </c>
      <c r="H196">
        <v>9</v>
      </c>
      <c r="I196">
        <v>17</v>
      </c>
      <c r="J196" t="str">
        <f>"03-3715037"</f>
        <v>0</v>
      </c>
      <c r="K196" t="str">
        <f>"0989666113"</f>
        <v>0</v>
      </c>
      <c r="L196" t="s">
        <v>705</v>
      </c>
      <c r="M196" t="s">
        <v>72</v>
      </c>
      <c r="N196" t="s">
        <v>84</v>
      </c>
      <c r="O196" t="s">
        <v>706</v>
      </c>
      <c r="P196" t="s">
        <v>25</v>
      </c>
      <c r="Q196">
        <v>280</v>
      </c>
    </row>
    <row r="197" spans="1:17">
      <c r="A197">
        <v>195</v>
      </c>
      <c r="B197" t="s">
        <v>228</v>
      </c>
      <c r="C197" t="s">
        <v>707</v>
      </c>
      <c r="D197" t="str">
        <f>"劉益廷"</f>
        <v>0</v>
      </c>
      <c r="E197" t="s">
        <v>34</v>
      </c>
      <c r="F197" t="s">
        <v>704</v>
      </c>
      <c r="G197">
        <v>1982</v>
      </c>
      <c r="H197">
        <v>9</v>
      </c>
      <c r="I197">
        <v>17</v>
      </c>
      <c r="J197" t="str">
        <f>"03-3715037"</f>
        <v>0</v>
      </c>
      <c r="K197" t="str">
        <f>"0989666113"</f>
        <v>0</v>
      </c>
      <c r="L197" t="s">
        <v>705</v>
      </c>
      <c r="M197" t="s">
        <v>72</v>
      </c>
      <c r="N197" t="s">
        <v>84</v>
      </c>
      <c r="O197" t="s">
        <v>706</v>
      </c>
      <c r="P197" t="s">
        <v>25</v>
      </c>
      <c r="Q197">
        <v>219</v>
      </c>
    </row>
    <row r="198" spans="1:17">
      <c r="A198">
        <v>196</v>
      </c>
      <c r="B198" t="s">
        <v>32</v>
      </c>
      <c r="C198" t="s">
        <v>708</v>
      </c>
      <c r="D198" t="str">
        <f>"劉益廷"</f>
        <v>0</v>
      </c>
      <c r="E198" t="s">
        <v>34</v>
      </c>
      <c r="F198" t="s">
        <v>704</v>
      </c>
      <c r="G198">
        <v>1982</v>
      </c>
      <c r="H198">
        <v>9</v>
      </c>
      <c r="I198">
        <v>17</v>
      </c>
      <c r="J198" t="str">
        <f>"03-3715037"</f>
        <v>0</v>
      </c>
      <c r="K198" t="str">
        <f>"0989666113"</f>
        <v>0</v>
      </c>
      <c r="L198" t="s">
        <v>705</v>
      </c>
      <c r="M198" t="s">
        <v>72</v>
      </c>
      <c r="N198" t="s">
        <v>84</v>
      </c>
      <c r="O198" t="s">
        <v>706</v>
      </c>
      <c r="P198" t="s">
        <v>25</v>
      </c>
      <c r="Q198">
        <v>58</v>
      </c>
    </row>
    <row r="199" spans="1:17">
      <c r="A199">
        <v>197</v>
      </c>
      <c r="B199" t="s">
        <v>356</v>
      </c>
      <c r="C199" t="s">
        <v>709</v>
      </c>
      <c r="D199" t="str">
        <f>"王建富"</f>
        <v>0</v>
      </c>
      <c r="E199" t="s">
        <v>19</v>
      </c>
      <c r="F199" t="s">
        <v>710</v>
      </c>
      <c r="G199">
        <v>1979</v>
      </c>
      <c r="H199">
        <v>8</v>
      </c>
      <c r="I199">
        <v>16</v>
      </c>
      <c r="J199" t="str">
        <f>"02-29913980"</f>
        <v>0</v>
      </c>
      <c r="K199" t="str">
        <f>"0935370550"</f>
        <v>0</v>
      </c>
      <c r="L199" t="s">
        <v>711</v>
      </c>
      <c r="M199" t="s">
        <v>29</v>
      </c>
      <c r="N199" t="s">
        <v>30</v>
      </c>
      <c r="O199" t="s">
        <v>712</v>
      </c>
      <c r="P199" t="s">
        <v>25</v>
      </c>
      <c r="Q199">
        <v>68</v>
      </c>
    </row>
    <row r="200" spans="1:17">
      <c r="A200">
        <v>198</v>
      </c>
      <c r="B200" t="s">
        <v>228</v>
      </c>
      <c r="C200" t="s">
        <v>713</v>
      </c>
      <c r="D200" t="str">
        <f>"葉美芬"</f>
        <v>0</v>
      </c>
      <c r="E200" t="s">
        <v>34</v>
      </c>
      <c r="F200" t="s">
        <v>714</v>
      </c>
      <c r="G200">
        <v>1975</v>
      </c>
      <c r="H200">
        <v>4</v>
      </c>
      <c r="I200">
        <v>7</v>
      </c>
      <c r="J200" t="str">
        <f>"07-2152321"</f>
        <v>0</v>
      </c>
      <c r="K200" t="str">
        <f>"0958393633"</f>
        <v>0</v>
      </c>
      <c r="L200" t="s">
        <v>715</v>
      </c>
      <c r="M200" t="s">
        <v>37</v>
      </c>
      <c r="N200" t="s">
        <v>716</v>
      </c>
      <c r="O200" t="s">
        <v>717</v>
      </c>
      <c r="P200" t="s">
        <v>718</v>
      </c>
      <c r="Q200">
        <v>68</v>
      </c>
    </row>
    <row r="201" spans="1:17">
      <c r="A201">
        <v>199</v>
      </c>
      <c r="B201" t="s">
        <v>379</v>
      </c>
      <c r="C201" t="s">
        <v>719</v>
      </c>
      <c r="D201" t="str">
        <f>"謝妤晴"</f>
        <v>0</v>
      </c>
      <c r="E201" t="s">
        <v>34</v>
      </c>
      <c r="F201" t="s">
        <v>720</v>
      </c>
      <c r="G201">
        <v>2001</v>
      </c>
      <c r="H201">
        <v>1</v>
      </c>
      <c r="I201">
        <v>31</v>
      </c>
      <c r="J201" t="str">
        <f>"07-8223568"</f>
        <v>0</v>
      </c>
      <c r="K201" t="str">
        <f>"0939289465"</f>
        <v>0</v>
      </c>
      <c r="L201" t="s">
        <v>721</v>
      </c>
      <c r="M201" t="s">
        <v>37</v>
      </c>
      <c r="N201" t="s">
        <v>184</v>
      </c>
      <c r="O201" t="s">
        <v>383</v>
      </c>
      <c r="P201" t="s">
        <v>40</v>
      </c>
      <c r="Q201">
        <v>27</v>
      </c>
    </row>
    <row r="202" spans="1:17">
      <c r="A202">
        <v>200</v>
      </c>
      <c r="B202" t="s">
        <v>356</v>
      </c>
      <c r="C202" t="s">
        <v>722</v>
      </c>
      <c r="D202" t="str">
        <f>"方薰慧"</f>
        <v>0</v>
      </c>
      <c r="E202" t="s">
        <v>34</v>
      </c>
      <c r="F202" t="s">
        <v>723</v>
      </c>
      <c r="G202">
        <v>1991</v>
      </c>
      <c r="H202">
        <v>2</v>
      </c>
      <c r="I202">
        <v>24</v>
      </c>
      <c r="J202" t="str">
        <f>"06-6357759"</f>
        <v>0</v>
      </c>
      <c r="K202" t="str">
        <f>"0963220987"</f>
        <v>0</v>
      </c>
      <c r="L202" t="s">
        <v>724</v>
      </c>
      <c r="M202" t="s">
        <v>360</v>
      </c>
      <c r="N202" t="s">
        <v>725</v>
      </c>
      <c r="O202" t="s">
        <v>726</v>
      </c>
      <c r="P202" t="s">
        <v>25</v>
      </c>
      <c r="Q202">
        <v>68</v>
      </c>
    </row>
    <row r="203" spans="1:17">
      <c r="A203">
        <v>201</v>
      </c>
      <c r="B203" t="s">
        <v>48</v>
      </c>
      <c r="C203" t="s">
        <v>727</v>
      </c>
      <c r="D203" t="str">
        <f>"示佩玲"</f>
        <v>0</v>
      </c>
      <c r="E203" t="s">
        <v>34</v>
      </c>
      <c r="F203" t="s">
        <v>556</v>
      </c>
      <c r="G203">
        <v>1978</v>
      </c>
      <c r="H203">
        <v>12</v>
      </c>
      <c r="I203">
        <v>23</v>
      </c>
      <c r="J203" t="str">
        <f>"04-7764335"</f>
        <v>0</v>
      </c>
      <c r="K203" t="str">
        <f>"0911335916"</f>
        <v>0</v>
      </c>
      <c r="L203" t="s">
        <v>557</v>
      </c>
      <c r="M203" t="s">
        <v>151</v>
      </c>
      <c r="N203" t="s">
        <v>558</v>
      </c>
      <c r="O203" t="s">
        <v>559</v>
      </c>
      <c r="P203" t="s">
        <v>25</v>
      </c>
      <c r="Q203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登錄名單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2013-11-25T19:45:45+08:00</dcterms:created>
  <dcterms:modified xsi:type="dcterms:W3CDTF">2013-11-25T19:45:45+08:00</dcterms:modified>
  <dc:title>Untitled Spreadsheet</dc:title>
  <dc:description/>
  <dc:subject/>
  <cp:keywords/>
  <cp:category/>
</cp:coreProperties>
</file>